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d09f2e29324906/Documents/CE/CE 2026/"/>
    </mc:Choice>
  </mc:AlternateContent>
  <xr:revisionPtr revIDLastSave="44" documentId="8_{1F42CF39-CD52-4041-A526-76785281BAFD}" xr6:coauthVersionLast="47" xr6:coauthVersionMax="47" xr10:uidLastSave="{237B832A-1FE9-41C5-AEBE-2632E79A4DAF}"/>
  <bookViews>
    <workbookView xWindow="-110" yWindow="-110" windowWidth="19420" windowHeight="11500" firstSheet="1" activeTab="1" xr2:uid="{B9C1C344-6DD1-447B-B3BD-A2B082794C8C}"/>
  </bookViews>
  <sheets>
    <sheet name="Base" sheetId="4" r:id="rId1"/>
    <sheet name="Station meteo" sheetId="9" r:id="rId2"/>
  </sheets>
  <definedNames>
    <definedName name="_xlnm.Print_Titles" localSheetId="0">Base!$A:$A,Base!$1:$2</definedName>
    <definedName name="_xlnm.Print_Titles" localSheetId="1">'Station meteo'!$A:$B,'Station meteo'!$1:$2</definedName>
    <definedName name="_xlnm.Print_Area" localSheetId="0">Base!$E$3:$I$58</definedName>
    <definedName name="_xlnm.Print_Area" localSheetId="1">'Station meteo'!$F$3:$AB$58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9" l="1"/>
  <c r="S3" i="9"/>
  <c r="U3" i="9" s="1"/>
  <c r="L3" i="9"/>
  <c r="T38" i="9"/>
  <c r="S38" i="9"/>
  <c r="U38" i="9" s="1"/>
  <c r="L38" i="9"/>
  <c r="G38" i="9"/>
  <c r="T15" i="9"/>
  <c r="S15" i="9"/>
  <c r="U15" i="9" s="1"/>
  <c r="L15" i="9"/>
  <c r="G15" i="9"/>
  <c r="T10" i="9"/>
  <c r="S10" i="9"/>
  <c r="U10" i="9" s="1"/>
  <c r="L10" i="9"/>
  <c r="G10" i="9"/>
  <c r="T19" i="9"/>
  <c r="S19" i="9"/>
  <c r="L19" i="9"/>
  <c r="G19" i="9"/>
  <c r="T53" i="9"/>
  <c r="S53" i="9"/>
  <c r="U53" i="9" s="1"/>
  <c r="L53" i="9"/>
  <c r="T9" i="9"/>
  <c r="U9" i="9" s="1"/>
  <c r="L9" i="9"/>
  <c r="T51" i="9"/>
  <c r="U51" i="9" s="1"/>
  <c r="L51" i="9"/>
  <c r="T14" i="9"/>
  <c r="S14" i="9"/>
  <c r="L14" i="9"/>
  <c r="G14" i="9"/>
  <c r="T16" i="9"/>
  <c r="U16" i="9" s="1"/>
  <c r="L16" i="9"/>
  <c r="T46" i="9"/>
  <c r="U46" i="9" s="1"/>
  <c r="L46" i="9"/>
  <c r="T35" i="9"/>
  <c r="S35" i="9"/>
  <c r="U35" i="9" s="1"/>
  <c r="L35" i="9"/>
  <c r="G35" i="9"/>
  <c r="T5" i="9"/>
  <c r="U5" i="9" s="1"/>
  <c r="L5" i="9"/>
  <c r="T55" i="9"/>
  <c r="S55" i="9"/>
  <c r="U55" i="9" s="1"/>
  <c r="L55" i="9"/>
  <c r="AL12" i="9"/>
  <c r="T12" i="9"/>
  <c r="S12" i="9"/>
  <c r="L12" i="9"/>
  <c r="G12" i="9"/>
  <c r="T43" i="9"/>
  <c r="S43" i="9"/>
  <c r="U43" i="9" s="1"/>
  <c r="L43" i="9"/>
  <c r="T33" i="9"/>
  <c r="S33" i="9"/>
  <c r="U33" i="9" s="1"/>
  <c r="L33" i="9"/>
  <c r="G33" i="9"/>
  <c r="T4" i="9"/>
  <c r="S4" i="9"/>
  <c r="U4" i="9" s="1"/>
  <c r="L4" i="9"/>
  <c r="G4" i="9"/>
  <c r="T31" i="9"/>
  <c r="S31" i="9"/>
  <c r="U31" i="9" s="1"/>
  <c r="L31" i="9"/>
  <c r="G31" i="9"/>
  <c r="T37" i="9"/>
  <c r="S37" i="9"/>
  <c r="L37" i="9"/>
  <c r="G37" i="9"/>
  <c r="T44" i="9"/>
  <c r="S44" i="9"/>
  <c r="L44" i="9"/>
  <c r="T6" i="9"/>
  <c r="S6" i="9"/>
  <c r="U6" i="9" s="1"/>
  <c r="L6" i="9"/>
  <c r="T8" i="9"/>
  <c r="S8" i="9"/>
  <c r="U8" i="9" s="1"/>
  <c r="L8" i="9"/>
  <c r="T49" i="9"/>
  <c r="U49" i="9" s="1"/>
  <c r="L49" i="9"/>
  <c r="T47" i="9"/>
  <c r="U47" i="9" s="1"/>
  <c r="P47" i="9"/>
  <c r="L47" i="9"/>
  <c r="T58" i="9"/>
  <c r="S58" i="9"/>
  <c r="U58" i="9" s="1"/>
  <c r="L58" i="9"/>
  <c r="G58" i="9"/>
  <c r="T25" i="9"/>
  <c r="S25" i="9"/>
  <c r="U25" i="9" s="1"/>
  <c r="L25" i="9"/>
  <c r="T45" i="9"/>
  <c r="S45" i="9"/>
  <c r="U45" i="9" s="1"/>
  <c r="L45" i="9"/>
  <c r="T7" i="9"/>
  <c r="S7" i="9"/>
  <c r="U7" i="9" s="1"/>
  <c r="L7" i="9"/>
  <c r="T41" i="9"/>
  <c r="L41" i="9"/>
  <c r="G41" i="9"/>
  <c r="T29" i="9"/>
  <c r="S29" i="9"/>
  <c r="U29" i="9" s="1"/>
  <c r="L29" i="9"/>
  <c r="G29" i="9"/>
  <c r="T56" i="9"/>
  <c r="U56" i="9" s="1"/>
  <c r="L56" i="9"/>
  <c r="T54" i="9"/>
  <c r="S54" i="9"/>
  <c r="U54" i="9" s="1"/>
  <c r="L54" i="9"/>
  <c r="T22" i="9"/>
  <c r="U22" i="9" s="1"/>
  <c r="S22" i="9"/>
  <c r="L22" i="9"/>
  <c r="G22" i="9"/>
  <c r="T20" i="9"/>
  <c r="S20" i="9"/>
  <c r="U20" i="9" s="1"/>
  <c r="L20" i="9"/>
  <c r="G20" i="9"/>
  <c r="T57" i="9"/>
  <c r="S57" i="9"/>
  <c r="U57" i="9" s="1"/>
  <c r="L57" i="9"/>
  <c r="G57" i="9"/>
  <c r="T39" i="9"/>
  <c r="S39" i="9"/>
  <c r="U39" i="9" s="1"/>
  <c r="L39" i="9"/>
  <c r="G39" i="9"/>
  <c r="T50" i="9"/>
  <c r="U50" i="9" s="1"/>
  <c r="L50" i="9"/>
  <c r="T48" i="9"/>
  <c r="U48" i="9" s="1"/>
  <c r="P48" i="9"/>
  <c r="L48" i="9"/>
  <c r="T27" i="9"/>
  <c r="S27" i="9"/>
  <c r="U27" i="9" s="1"/>
  <c r="L27" i="9"/>
  <c r="G27" i="9"/>
  <c r="T24" i="9"/>
  <c r="S24" i="9"/>
  <c r="U24" i="9" s="1"/>
  <c r="L24" i="9"/>
  <c r="G24" i="9"/>
  <c r="T11" i="9"/>
  <c r="S11" i="9"/>
  <c r="U11" i="9" s="1"/>
  <c r="L11" i="9"/>
  <c r="G11" i="9"/>
  <c r="T30" i="9"/>
  <c r="S30" i="9"/>
  <c r="L30" i="9"/>
  <c r="G30" i="9"/>
  <c r="T26" i="9"/>
  <c r="S26" i="9"/>
  <c r="U26" i="9" s="1"/>
  <c r="L26" i="9"/>
  <c r="G26" i="9"/>
  <c r="T21" i="9"/>
  <c r="S21" i="9"/>
  <c r="U21" i="9" s="1"/>
  <c r="L21" i="9"/>
  <c r="G21" i="9"/>
  <c r="T36" i="9"/>
  <c r="S36" i="9"/>
  <c r="U36" i="9" s="1"/>
  <c r="L36" i="9"/>
  <c r="G36" i="9"/>
  <c r="T52" i="9"/>
  <c r="S52" i="9"/>
  <c r="U52" i="9" s="1"/>
  <c r="L52" i="9"/>
  <c r="T18" i="9"/>
  <c r="S18" i="9"/>
  <c r="L18" i="9"/>
  <c r="G18" i="9"/>
  <c r="T40" i="9"/>
  <c r="S40" i="9"/>
  <c r="U40" i="9" s="1"/>
  <c r="L40" i="9"/>
  <c r="G40" i="9"/>
  <c r="T42" i="9"/>
  <c r="S42" i="9"/>
  <c r="U42" i="9" s="1"/>
  <c r="L42" i="9"/>
  <c r="T13" i="9"/>
  <c r="S13" i="9"/>
  <c r="U13" i="9" s="1"/>
  <c r="L13" i="9"/>
  <c r="G13" i="9"/>
  <c r="T32" i="9"/>
  <c r="S32" i="9"/>
  <c r="U32" i="9" s="1"/>
  <c r="L32" i="9"/>
  <c r="G32" i="9"/>
  <c r="T17" i="9"/>
  <c r="S17" i="9"/>
  <c r="U17" i="9" s="1"/>
  <c r="L17" i="9"/>
  <c r="G17" i="9"/>
  <c r="T23" i="9"/>
  <c r="S23" i="9"/>
  <c r="U23" i="9" s="1"/>
  <c r="L23" i="9"/>
  <c r="G23" i="9"/>
  <c r="AL28" i="9"/>
  <c r="T28" i="9"/>
  <c r="S28" i="9"/>
  <c r="L28" i="9"/>
  <c r="G28" i="9"/>
  <c r="T34" i="9"/>
  <c r="S34" i="9"/>
  <c r="L34" i="9"/>
  <c r="G34" i="9"/>
  <c r="U12" i="9" l="1"/>
  <c r="U14" i="9"/>
  <c r="U37" i="9"/>
  <c r="U19" i="9"/>
  <c r="U30" i="9"/>
  <c r="U34" i="9"/>
  <c r="U28" i="9"/>
  <c r="U18" i="9"/>
  <c r="U44" i="9"/>
  <c r="R58" i="4"/>
  <c r="Q58" i="4"/>
  <c r="J58" i="4"/>
  <c r="R54" i="4"/>
  <c r="Q54" i="4"/>
  <c r="J54" i="4"/>
  <c r="E54" i="4"/>
  <c r="R53" i="4"/>
  <c r="Q53" i="4"/>
  <c r="J53" i="4"/>
  <c r="R50" i="4"/>
  <c r="Q50" i="4"/>
  <c r="J50" i="4"/>
  <c r="E50" i="4"/>
  <c r="R55" i="4"/>
  <c r="Q55" i="4"/>
  <c r="J55" i="4"/>
  <c r="E55" i="4"/>
  <c r="R10" i="4"/>
  <c r="Q10" i="4"/>
  <c r="J10" i="4"/>
  <c r="E10" i="4"/>
  <c r="R42" i="4"/>
  <c r="Q42" i="4"/>
  <c r="J42" i="4"/>
  <c r="E42" i="4"/>
  <c r="R46" i="4"/>
  <c r="S46" i="4" s="1"/>
  <c r="J46" i="4"/>
  <c r="R47" i="4"/>
  <c r="Q47" i="4"/>
  <c r="J47" i="4"/>
  <c r="E47" i="4"/>
  <c r="R49" i="4"/>
  <c r="S49" i="4" s="1"/>
  <c r="J49" i="4"/>
  <c r="R57" i="4"/>
  <c r="Q57" i="4"/>
  <c r="J57" i="4"/>
  <c r="E57" i="4"/>
  <c r="R37" i="4"/>
  <c r="Q37" i="4"/>
  <c r="J37" i="4"/>
  <c r="R56" i="4"/>
  <c r="Q56" i="4"/>
  <c r="J56" i="4"/>
  <c r="E56" i="4"/>
  <c r="R13" i="4"/>
  <c r="Q13" i="4"/>
  <c r="J13" i="4"/>
  <c r="E13" i="4"/>
  <c r="R41" i="4"/>
  <c r="Q41" i="4"/>
  <c r="J41" i="4"/>
  <c r="E41" i="4"/>
  <c r="R17" i="4"/>
  <c r="Q17" i="4"/>
  <c r="J17" i="4"/>
  <c r="E17" i="4"/>
  <c r="R43" i="4"/>
  <c r="Q43" i="4"/>
  <c r="J43" i="4"/>
  <c r="R52" i="4"/>
  <c r="S52" i="4" s="1"/>
  <c r="J52" i="4"/>
  <c r="R38" i="4"/>
  <c r="Q38" i="4"/>
  <c r="J38" i="4"/>
  <c r="R11" i="4"/>
  <c r="Q11" i="4"/>
  <c r="J11" i="4"/>
  <c r="E11" i="4"/>
  <c r="R34" i="4"/>
  <c r="S34" i="4" s="1"/>
  <c r="N34" i="4"/>
  <c r="J34" i="4"/>
  <c r="R48" i="4"/>
  <c r="S48" i="4" s="1"/>
  <c r="J48" i="4"/>
  <c r="R28" i="4"/>
  <c r="Q28" i="4"/>
  <c r="J28" i="4"/>
  <c r="E28" i="4"/>
  <c r="R51" i="4"/>
  <c r="S51" i="4" s="1"/>
  <c r="J51" i="4"/>
  <c r="R25" i="4"/>
  <c r="Q25" i="4"/>
  <c r="J25" i="4"/>
  <c r="E25" i="4"/>
  <c r="R33" i="4"/>
  <c r="Q33" i="4"/>
  <c r="J33" i="4"/>
  <c r="E33" i="4"/>
  <c r="R39" i="4"/>
  <c r="Q39" i="4"/>
  <c r="J39" i="4"/>
  <c r="E39" i="4"/>
  <c r="R31" i="4"/>
  <c r="Q31" i="4"/>
  <c r="J31" i="4"/>
  <c r="R35" i="4"/>
  <c r="S35" i="4" s="1"/>
  <c r="J35" i="4"/>
  <c r="R29" i="4"/>
  <c r="J29" i="4"/>
  <c r="E29" i="4"/>
  <c r="R19" i="4"/>
  <c r="Q19" i="4"/>
  <c r="S19" i="4" s="1"/>
  <c r="J19" i="4"/>
  <c r="E19" i="4"/>
  <c r="R21" i="4"/>
  <c r="S21" i="4" s="1"/>
  <c r="J21" i="4"/>
  <c r="R12" i="4"/>
  <c r="Q12" i="4"/>
  <c r="J12" i="4"/>
  <c r="R8" i="4"/>
  <c r="Q8" i="4"/>
  <c r="J8" i="4"/>
  <c r="E8" i="4"/>
  <c r="R45" i="4"/>
  <c r="Q45" i="4"/>
  <c r="S45" i="4" s="1"/>
  <c r="J45" i="4"/>
  <c r="R16" i="4"/>
  <c r="Q16" i="4"/>
  <c r="J16" i="4"/>
  <c r="E16" i="4"/>
  <c r="R18" i="4"/>
  <c r="Q18" i="4"/>
  <c r="J18" i="4"/>
  <c r="E18" i="4"/>
  <c r="R7" i="4"/>
  <c r="Q7" i="4"/>
  <c r="J7" i="4"/>
  <c r="E7" i="4"/>
  <c r="R6" i="4"/>
  <c r="Q6" i="4"/>
  <c r="S6" i="4" s="1"/>
  <c r="J6" i="4"/>
  <c r="E6" i="4"/>
  <c r="R20" i="4"/>
  <c r="S20" i="4" s="1"/>
  <c r="N20" i="4"/>
  <c r="J20" i="4"/>
  <c r="R15" i="4"/>
  <c r="Q15" i="4"/>
  <c r="J15" i="4"/>
  <c r="E15" i="4"/>
  <c r="R4" i="4"/>
  <c r="Q4" i="4"/>
  <c r="J4" i="4"/>
  <c r="E4" i="4"/>
  <c r="R36" i="4"/>
  <c r="Q36" i="4"/>
  <c r="J36" i="4"/>
  <c r="R40" i="4"/>
  <c r="Q40" i="4"/>
  <c r="J40" i="4"/>
  <c r="E40" i="4"/>
  <c r="R30" i="4"/>
  <c r="Q30" i="4"/>
  <c r="J30" i="4"/>
  <c r="R27" i="4"/>
  <c r="S27" i="4" s="1"/>
  <c r="J27" i="4"/>
  <c r="R26" i="4"/>
  <c r="Q26" i="4"/>
  <c r="S26" i="4" s="1"/>
  <c r="J26" i="4"/>
  <c r="R24" i="4"/>
  <c r="Q24" i="4"/>
  <c r="J24" i="4"/>
  <c r="E24" i="4"/>
  <c r="R44" i="4"/>
  <c r="Q44" i="4"/>
  <c r="J44" i="4"/>
  <c r="E44" i="4"/>
  <c r="R32" i="4"/>
  <c r="Q32" i="4"/>
  <c r="J32" i="4"/>
  <c r="R5" i="4"/>
  <c r="Q5" i="4"/>
  <c r="J5" i="4"/>
  <c r="E5" i="4"/>
  <c r="R14" i="4"/>
  <c r="Q14" i="4"/>
  <c r="J14" i="4"/>
  <c r="E14" i="4"/>
  <c r="R23" i="4"/>
  <c r="Q23" i="4"/>
  <c r="J23" i="4"/>
  <c r="E23" i="4"/>
  <c r="R22" i="4"/>
  <c r="Q22" i="4"/>
  <c r="S22" i="4" s="1"/>
  <c r="J22" i="4"/>
  <c r="E22" i="4"/>
  <c r="R3" i="4"/>
  <c r="Q3" i="4"/>
  <c r="J3" i="4"/>
  <c r="E3" i="4"/>
  <c r="R9" i="4"/>
  <c r="Q9" i="4"/>
  <c r="J9" i="4"/>
  <c r="S44" i="4" l="1"/>
  <c r="S15" i="4"/>
  <c r="S11" i="4"/>
  <c r="S25" i="4"/>
  <c r="S42" i="4"/>
  <c r="S38" i="4"/>
  <c r="S57" i="4"/>
  <c r="S13" i="4"/>
  <c r="S54" i="4"/>
  <c r="S14" i="4"/>
  <c r="S41" i="4"/>
  <c r="S53" i="4"/>
  <c r="S36" i="4"/>
  <c r="S16" i="4"/>
  <c r="S39" i="4"/>
  <c r="S10" i="4"/>
  <c r="S5" i="4"/>
  <c r="S28" i="4"/>
  <c r="S32" i="4"/>
  <c r="S4" i="4"/>
  <c r="S33" i="4"/>
  <c r="S43" i="4"/>
  <c r="S7" i="4"/>
  <c r="S55" i="4"/>
  <c r="S58" i="4"/>
  <c r="S23" i="4"/>
  <c r="S30" i="4"/>
  <c r="S8" i="4"/>
  <c r="S56" i="4"/>
  <c r="S50" i="4"/>
  <c r="S3" i="4"/>
  <c r="S24" i="4"/>
  <c r="S37" i="4"/>
  <c r="S9" i="4"/>
  <c r="S47" i="4"/>
  <c r="S40" i="4"/>
  <c r="S18" i="4"/>
  <c r="S12" i="4"/>
  <c r="S31" i="4"/>
  <c r="S1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Jean-Pierre Mérot</author>
  </authors>
  <commentList>
    <comment ref="O10" authorId="0" shapeId="0" xr:uid="{ED6270C3-B35F-473D-914C-A4CAF079F151}">
      <text>
        <r>
          <rPr>
            <b/>
            <sz val="9"/>
            <color indexed="81"/>
            <rFont val="Tahoma"/>
            <family val="2"/>
          </rPr>
          <t>Jean-Pierre Mérot:</t>
        </r>
        <r>
          <rPr>
            <sz val="9"/>
            <color indexed="81"/>
            <rFont val="Tahoma"/>
            <family val="2"/>
          </rPr>
          <t xml:space="preserve">
est jpm</t>
        </r>
      </text>
    </comment>
    <comment ref="D20" authorId="0" shapeId="0" xr:uid="{A35F8127-2314-4EE0-AD07-A0B66A35ED95}">
      <text>
        <r>
          <rPr>
            <b/>
            <sz val="9"/>
            <color indexed="81"/>
            <rFont val="Tahoma"/>
            <family val="2"/>
          </rPr>
          <t>Jean-Pierre Mérot:</t>
        </r>
        <r>
          <rPr>
            <sz val="9"/>
            <color indexed="81"/>
            <rFont val="Tahoma"/>
            <family val="2"/>
          </rPr>
          <t xml:space="preserve">
jumelle du #72
</t>
        </r>
      </text>
    </comment>
    <comment ref="O25" authorId="0" shapeId="0" xr:uid="{CD827C31-DE03-4F66-9338-F2311183C099}">
      <text>
        <r>
          <rPr>
            <b/>
            <sz val="9"/>
            <color indexed="81"/>
            <rFont val="Tahoma"/>
            <family val="2"/>
          </rPr>
          <t>Jean-Pierre Mérot:</t>
        </r>
        <r>
          <rPr>
            <sz val="9"/>
            <color indexed="81"/>
            <rFont val="Tahoma"/>
            <family val="2"/>
          </rPr>
          <t xml:space="preserve">
est jpm</t>
        </r>
      </text>
    </comment>
    <comment ref="Z29" authorId="0" shapeId="0" xr:uid="{0EAD571C-4BE2-48EB-9A8F-27AFC6EE0D78}">
      <text>
        <r>
          <rPr>
            <b/>
            <sz val="9"/>
            <color indexed="81"/>
            <rFont val="Tahoma"/>
            <family val="2"/>
          </rPr>
          <t>Jean-Pierre Mérot:</t>
        </r>
        <r>
          <rPr>
            <sz val="9"/>
            <color indexed="81"/>
            <rFont val="Tahoma"/>
            <family val="2"/>
          </rPr>
          <t xml:space="preserve">
oncoherent 100 % Ce plus 100% Bois
</t>
        </r>
      </text>
    </comment>
    <comment ref="P30" authorId="0" shapeId="0" xr:uid="{C96A725D-4D47-4ECC-A0C3-EA28E8283A6D}">
      <text>
        <r>
          <rPr>
            <b/>
            <sz val="9"/>
            <color indexed="81"/>
            <rFont val="Tahoma"/>
            <family val="2"/>
          </rPr>
          <t>Jean-Pierre Mérot:</t>
        </r>
        <r>
          <rPr>
            <sz val="9"/>
            <color indexed="81"/>
            <rFont val="Tahoma"/>
            <family val="2"/>
          </rPr>
          <t xml:space="preserve">
attention c'est du BOIS
</t>
        </r>
      </text>
    </comment>
    <comment ref="Q31" authorId="0" shapeId="0" xr:uid="{217AEEC8-6912-4C1F-8CD5-E70B98ED9B34}">
      <text>
        <r>
          <rPr>
            <b/>
            <sz val="9"/>
            <color indexed="81"/>
            <rFont val="Tahoma"/>
            <charset val="1"/>
          </rPr>
          <t>Jean-Pierre Mérot:</t>
        </r>
        <r>
          <rPr>
            <sz val="9"/>
            <color indexed="81"/>
            <rFont val="Tahoma"/>
            <charset val="1"/>
          </rPr>
          <t xml:space="preserve">
dont 7700 Bois
</t>
        </r>
      </text>
    </comment>
    <comment ref="AA45" authorId="0" shapeId="0" xr:uid="{7D50D889-0CC1-4DF6-9541-846129C42921}">
      <text>
        <r>
          <rPr>
            <b/>
            <sz val="9"/>
            <color indexed="81"/>
            <rFont val="Tahoma"/>
            <charset val="1"/>
          </rPr>
          <t>Jean-Pierre Mérot:</t>
        </r>
        <r>
          <rPr>
            <sz val="9"/>
            <color indexed="81"/>
            <rFont val="Tahoma"/>
            <charset val="1"/>
          </rPr>
          <t xml:space="preserve">
pellets</t>
        </r>
      </text>
    </comment>
    <comment ref="AL51" authorId="0" shapeId="0" xr:uid="{C87D6E02-3AE1-40D3-90E3-9E94B4E541E3}">
      <text>
        <r>
          <rPr>
            <b/>
            <sz val="9"/>
            <color indexed="81"/>
            <rFont val="Tahoma"/>
            <charset val="1"/>
          </rPr>
          <t>Jean-Pierre Mérot:</t>
        </r>
        <r>
          <rPr>
            <sz val="9"/>
            <color indexed="81"/>
            <rFont val="Tahoma"/>
            <charset val="1"/>
          </rPr>
          <t xml:space="preserve">
faux à l'évidence: puissance 17 kWc</t>
        </r>
      </text>
    </comment>
    <comment ref="B52" authorId="0" shapeId="0" xr:uid="{260C552A-7801-4443-94AA-5938A7D08EEF}">
      <text>
        <r>
          <rPr>
            <b/>
            <sz val="9"/>
            <color indexed="81"/>
            <rFont val="Tahoma"/>
            <family val="2"/>
          </rPr>
          <t>Jean-Pierre Mérot:</t>
        </r>
        <r>
          <rPr>
            <sz val="9"/>
            <color indexed="81"/>
            <rFont val="Tahoma"/>
            <family val="2"/>
          </rPr>
          <t xml:space="preserve">
maison jumelle du 61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Jean-Pierre Mérot</author>
  </authors>
  <commentList>
    <comment ref="B7" authorId="0" shapeId="0" xr:uid="{90DA99EF-C51B-4C92-8279-88BD01411F99}">
      <text>
        <r>
          <rPr>
            <b/>
            <sz val="9"/>
            <color indexed="81"/>
            <rFont val="Tahoma"/>
            <family val="2"/>
          </rPr>
          <t>Jean-Pierre Mérot:</t>
        </r>
        <r>
          <rPr>
            <sz val="9"/>
            <color indexed="81"/>
            <rFont val="Tahoma"/>
            <family val="2"/>
          </rPr>
          <t xml:space="preserve">
variant e du 65</t>
        </r>
      </text>
    </comment>
    <comment ref="R7" authorId="0" shapeId="0" xr:uid="{6B76A1DB-6065-497F-B18A-251A679F2779}">
      <text>
        <r>
          <rPr>
            <b/>
            <sz val="9"/>
            <color indexed="81"/>
            <rFont val="Tahoma"/>
            <family val="2"/>
          </rPr>
          <t>Jean-Pierre Mérot:</t>
        </r>
        <r>
          <rPr>
            <sz val="9"/>
            <color indexed="81"/>
            <rFont val="Tahoma"/>
            <family val="2"/>
          </rPr>
          <t xml:space="preserve">
attention c'est du BOIS
</t>
        </r>
      </text>
    </comment>
    <comment ref="C9" authorId="0" shapeId="0" xr:uid="{0FAEAE69-1CF1-4362-AF27-339F1193D3A3}">
      <text>
        <r>
          <rPr>
            <b/>
            <sz val="9"/>
            <color indexed="81"/>
            <rFont val="Tahoma"/>
            <family val="2"/>
          </rPr>
          <t>Jean-Pierre Mérot:</t>
        </r>
        <r>
          <rPr>
            <sz val="9"/>
            <color indexed="81"/>
            <rFont val="Tahoma"/>
            <family val="2"/>
          </rPr>
          <t xml:space="preserve">
maison jumelle du 61
</t>
        </r>
      </text>
    </comment>
    <comment ref="Q22" authorId="0" shapeId="0" xr:uid="{024ED211-BE79-4197-9BF0-8F881D9EA278}">
      <text>
        <r>
          <rPr>
            <b/>
            <sz val="9"/>
            <color indexed="81"/>
            <rFont val="Tahoma"/>
            <family val="2"/>
          </rPr>
          <t>Jean-Pierre Mérot:</t>
        </r>
        <r>
          <rPr>
            <sz val="9"/>
            <color indexed="81"/>
            <rFont val="Tahoma"/>
            <family val="2"/>
          </rPr>
          <t xml:space="preserve">
est jpm</t>
        </r>
      </text>
    </comment>
    <comment ref="Q40" authorId="0" shapeId="0" xr:uid="{208C1884-9E76-4600-B988-25659F17B52D}">
      <text>
        <r>
          <rPr>
            <b/>
            <sz val="9"/>
            <color indexed="81"/>
            <rFont val="Tahoma"/>
            <family val="2"/>
          </rPr>
          <t>Jean-Pierre Mérot:</t>
        </r>
        <r>
          <rPr>
            <sz val="9"/>
            <color indexed="81"/>
            <rFont val="Tahoma"/>
            <family val="2"/>
          </rPr>
          <t xml:space="preserve">
est jpm</t>
        </r>
      </text>
    </comment>
    <comment ref="AT41" authorId="0" shapeId="0" xr:uid="{D2F01900-DEE8-4D49-B111-97E4E9259195}">
      <text>
        <r>
          <rPr>
            <b/>
            <sz val="9"/>
            <color indexed="81"/>
            <rFont val="Tahoma"/>
            <family val="2"/>
          </rPr>
          <t>Jean-Pierre Mérot:</t>
        </r>
        <r>
          <rPr>
            <sz val="9"/>
            <color indexed="81"/>
            <rFont val="Tahoma"/>
            <family val="2"/>
          </rPr>
          <t xml:space="preserve">
incoherent 100 % Ce plus 100% Bois
</t>
        </r>
      </text>
    </comment>
    <comment ref="S45" authorId="0" shapeId="0" xr:uid="{11B1E6F3-A925-46A7-B8D3-8099E02CE4C5}">
      <text>
        <r>
          <rPr>
            <b/>
            <sz val="9"/>
            <color indexed="81"/>
            <rFont val="Tahoma"/>
            <charset val="1"/>
          </rPr>
          <t>Jean-Pierre Mérot:</t>
        </r>
        <r>
          <rPr>
            <sz val="9"/>
            <color indexed="81"/>
            <rFont val="Tahoma"/>
            <charset val="1"/>
          </rPr>
          <t xml:space="preserve">
dont 7700 Bois
</t>
        </r>
      </text>
    </comment>
    <comment ref="F48" authorId="0" shapeId="0" xr:uid="{99594443-EE7C-4F02-9CE8-CA14583E5F60}">
      <text>
        <r>
          <rPr>
            <b/>
            <sz val="9"/>
            <color indexed="81"/>
            <rFont val="Tahoma"/>
            <family val="2"/>
          </rPr>
          <t>Jean-Pierre Mérot:</t>
        </r>
        <r>
          <rPr>
            <sz val="9"/>
            <color indexed="81"/>
            <rFont val="Tahoma"/>
            <family val="2"/>
          </rPr>
          <t xml:space="preserve">
jumelle du #72
</t>
        </r>
      </text>
    </comment>
    <comment ref="BJ51" authorId="0" shapeId="0" xr:uid="{977CC944-13CC-48C4-B8FE-2B97EE4B23D1}">
      <text>
        <r>
          <rPr>
            <b/>
            <sz val="9"/>
            <color indexed="81"/>
            <rFont val="Tahoma"/>
            <charset val="1"/>
          </rPr>
          <t>Jean-Pierre Mérot:</t>
        </r>
        <r>
          <rPr>
            <sz val="9"/>
            <color indexed="81"/>
            <rFont val="Tahoma"/>
            <charset val="1"/>
          </rPr>
          <t xml:space="preserve">
faux à l'évidence: puissance 17 kWc</t>
        </r>
      </text>
    </comment>
    <comment ref="AU55" authorId="0" shapeId="0" xr:uid="{94524DAF-D64D-4385-8101-2397A63B54A9}">
      <text>
        <r>
          <rPr>
            <b/>
            <sz val="9"/>
            <color indexed="81"/>
            <rFont val="Tahoma"/>
            <charset val="1"/>
          </rPr>
          <t>Jean-Pierre Mérot:</t>
        </r>
        <r>
          <rPr>
            <sz val="9"/>
            <color indexed="81"/>
            <rFont val="Tahoma"/>
            <charset val="1"/>
          </rPr>
          <t xml:space="preserve">
pellets</t>
        </r>
      </text>
    </comment>
  </commentList>
</comments>
</file>

<file path=xl/sharedStrings.xml><?xml version="1.0" encoding="utf-8"?>
<sst xmlns="http://schemas.openxmlformats.org/spreadsheetml/2006/main" count="1292" uniqueCount="288">
  <si>
    <t>Ref</t>
  </si>
  <si>
    <t xml:space="preserve">Commune </t>
  </si>
  <si>
    <t>Construit en</t>
  </si>
  <si>
    <t>Catégorie</t>
  </si>
  <si>
    <t>Envel.kWh/m2</t>
  </si>
  <si>
    <t>Eff.globale kWh/m2</t>
  </si>
  <si>
    <t>C</t>
  </si>
  <si>
    <t>Emiss.GES</t>
  </si>
  <si>
    <t>Emiss.dir.CO2</t>
  </si>
  <si>
    <t>Date</t>
  </si>
  <si>
    <t>Expert</t>
  </si>
  <si>
    <t>Grandson</t>
  </si>
  <si>
    <t>Indiv</t>
  </si>
  <si>
    <t>A</t>
  </si>
  <si>
    <t>SRE</t>
  </si>
  <si>
    <t>Appart.</t>
  </si>
  <si>
    <t>Pièces</t>
  </si>
  <si>
    <t>Etages entiers</t>
  </si>
  <si>
    <t>Facteur env.</t>
  </si>
  <si>
    <t>Station</t>
  </si>
  <si>
    <t>Payerne</t>
  </si>
  <si>
    <t>Toit/plafond</t>
  </si>
  <si>
    <t>Murs</t>
  </si>
  <si>
    <t>Sols</t>
  </si>
  <si>
    <t>Fenêtres et portes</t>
  </si>
  <si>
    <t>Coeff.U contre esp-non chaufée ou enterré&gt; 2 m</t>
  </si>
  <si>
    <t>Habitation</t>
  </si>
  <si>
    <t>Affectation en m2</t>
  </si>
  <si>
    <t>Chaleur produite par CE</t>
  </si>
  <si>
    <t>Rdt</t>
  </si>
  <si>
    <t>année</t>
  </si>
  <si>
    <t>Chaleur produite par Bois</t>
  </si>
  <si>
    <t>Chauffe-Eau PAC</t>
  </si>
  <si>
    <t>Solaire Thermique</t>
  </si>
  <si>
    <t>degré couv. ECS</t>
  </si>
  <si>
    <t>Puiss, thermique specifiique</t>
  </si>
  <si>
    <t>Ventilation</t>
  </si>
  <si>
    <t>Fenetres</t>
  </si>
  <si>
    <t>Hotte aspirante</t>
  </si>
  <si>
    <t>WC. SdB</t>
  </si>
  <si>
    <t>Bon</t>
  </si>
  <si>
    <t>Production electricité</t>
  </si>
  <si>
    <t>Prod.effec</t>
  </si>
  <si>
    <t>Prise en compte</t>
  </si>
  <si>
    <t>CCF</t>
  </si>
  <si>
    <t>Effcicacité enveloppe</t>
  </si>
  <si>
    <t>Val.Limite</t>
  </si>
  <si>
    <t>Val.cible</t>
  </si>
  <si>
    <t>Efficacité energétique globale</t>
  </si>
  <si>
    <t>Enveloppe du bâtiment</t>
  </si>
  <si>
    <t>Tres bon</t>
  </si>
  <si>
    <t>Moyen</t>
  </si>
  <si>
    <t>Insuffisant</t>
  </si>
  <si>
    <t>Installation techniques</t>
  </si>
  <si>
    <t>Chauffage</t>
  </si>
  <si>
    <t>Type chaufff</t>
  </si>
  <si>
    <t>Recommnedations</t>
  </si>
  <si>
    <t>Changer chauffage</t>
  </si>
  <si>
    <t>D</t>
  </si>
  <si>
    <t>E</t>
  </si>
  <si>
    <t>BIFF sa</t>
  </si>
  <si>
    <t>Mauvais</t>
  </si>
  <si>
    <t>Chauffe-Eau electrique classique</t>
  </si>
  <si>
    <t>% pour ECS</t>
  </si>
  <si>
    <t>Elect.</t>
  </si>
  <si>
    <t>Fe</t>
  </si>
  <si>
    <t>To</t>
  </si>
  <si>
    <t>Elect</t>
  </si>
  <si>
    <t>Chauff.ECS</t>
  </si>
  <si>
    <t>La Rippe</t>
  </si>
  <si>
    <t>Gruninger</t>
  </si>
  <si>
    <t>très bon</t>
  </si>
  <si>
    <t>bon</t>
  </si>
  <si>
    <t>Mu, To,Pl</t>
  </si>
  <si>
    <t>Sol</t>
  </si>
  <si>
    <t>Sol c n-c</t>
  </si>
  <si>
    <t>Ecs</t>
  </si>
  <si>
    <t>Chauff</t>
  </si>
  <si>
    <t>ECS</t>
  </si>
  <si>
    <t>Bussigny</t>
  </si>
  <si>
    <t>G</t>
  </si>
  <si>
    <t>F</t>
  </si>
  <si>
    <t>Stauffer Energie</t>
  </si>
  <si>
    <t>Standard</t>
  </si>
  <si>
    <t>Mu. Sol c nc</t>
  </si>
  <si>
    <t>Isolation murs</t>
  </si>
  <si>
    <t>Commerce et autres</t>
  </si>
  <si>
    <t>Mu</t>
  </si>
  <si>
    <t>Gland</t>
  </si>
  <si>
    <t>Penthalaz</t>
  </si>
  <si>
    <t>RE</t>
  </si>
  <si>
    <t>CECB avant gros travaux…</t>
  </si>
  <si>
    <t>Mu To Pl</t>
  </si>
  <si>
    <t>Chauff Ecs</t>
  </si>
  <si>
    <t>Ménage</t>
  </si>
  <si>
    <t>Chauff ECS</t>
  </si>
  <si>
    <t>Founex</t>
  </si>
  <si>
    <t>Expert Home</t>
  </si>
  <si>
    <t>Type CECB</t>
  </si>
  <si>
    <t>CECB +</t>
  </si>
  <si>
    <t>CECB</t>
  </si>
  <si>
    <t>Amaudruz SA</t>
  </si>
  <si>
    <t>Mu To Pl Sol sol c nc</t>
  </si>
  <si>
    <t>Preverenges</t>
  </si>
  <si>
    <t>To Sol</t>
  </si>
  <si>
    <t>Mu Sol c nc</t>
  </si>
  <si>
    <t>ECS Elect</t>
  </si>
  <si>
    <t>ADM Energie</t>
  </si>
  <si>
    <t>Chaleur produite par PAC (air-Eau)</t>
  </si>
  <si>
    <t>Assens</t>
  </si>
  <si>
    <t xml:space="preserve">DRM </t>
  </si>
  <si>
    <t>Ecs Elect</t>
  </si>
  <si>
    <t>Adelboden</t>
  </si>
  <si>
    <t>Chauff ECs</t>
  </si>
  <si>
    <t>Gingins</t>
  </si>
  <si>
    <t>To, Mu cnc</t>
  </si>
  <si>
    <t>Tannay</t>
  </si>
  <si>
    <t>Solen 2</t>
  </si>
  <si>
    <t>Mu To Sol c nc</t>
  </si>
  <si>
    <t>Treycovagnes</t>
  </si>
  <si>
    <t>batimat SA</t>
  </si>
  <si>
    <t xml:space="preserve">ECS </t>
  </si>
  <si>
    <t>Cossonay</t>
  </si>
  <si>
    <t>GCAEnergies</t>
  </si>
  <si>
    <t>Pl cnc</t>
  </si>
  <si>
    <t>Mu Sol yc cnc</t>
  </si>
  <si>
    <t>GDL</t>
  </si>
  <si>
    <t>Sol Fe Mur &amp; solcnc</t>
  </si>
  <si>
    <t>Yvonand</t>
  </si>
  <si>
    <t>Energa sarl</t>
  </si>
  <si>
    <t>To Fe</t>
  </si>
  <si>
    <t>Sol, Murs et Mu cnc</t>
  </si>
  <si>
    <t>Lutry</t>
  </si>
  <si>
    <t>Optimisation enregétqiue du Batiment</t>
  </si>
  <si>
    <t>Tres Bon</t>
  </si>
  <si>
    <t>Sol, Mur% sol cnc</t>
  </si>
  <si>
    <t>Mu. To</t>
  </si>
  <si>
    <t>Borex</t>
  </si>
  <si>
    <t>Sol cnc Mu</t>
  </si>
  <si>
    <t>Rappel ref</t>
  </si>
  <si>
    <t>Couplage Chaleur/Force</t>
  </si>
  <si>
    <t>Consommations mesurées</t>
  </si>
  <si>
    <t xml:space="preserve"> Ménage</t>
  </si>
  <si>
    <t>Enveloppe</t>
  </si>
  <si>
    <t>Effic.Energétique globale</t>
  </si>
  <si>
    <t>Emissions  directes CO2</t>
  </si>
  <si>
    <t>Classe env</t>
  </si>
  <si>
    <t>Classe Eff.EG</t>
  </si>
  <si>
    <t>Classe émiss.</t>
  </si>
  <si>
    <t>postérieure au CECB</t>
  </si>
  <si>
    <t>Co2Eq</t>
  </si>
  <si>
    <t>Lausanne- Chalet à Gobet</t>
  </si>
  <si>
    <t>Thevoz Energie Conseil</t>
  </si>
  <si>
    <t>Fe To</t>
  </si>
  <si>
    <t>Mu Sol cnc</t>
  </si>
  <si>
    <t>Mu cnc</t>
  </si>
  <si>
    <t>Mu To</t>
  </si>
  <si>
    <t>Fiez</t>
  </si>
  <si>
    <t>Coeff.U contre extérieur ou enterré &lt;2m</t>
  </si>
  <si>
    <t>Mu PlcncSolcnc</t>
  </si>
  <si>
    <t>St Legier</t>
  </si>
  <si>
    <t>MucncSol cnc</t>
  </si>
  <si>
    <t>Elec</t>
  </si>
  <si>
    <t>Octawatt (N.Winkelmann)</t>
  </si>
  <si>
    <t>Idem 30 mais après isolation sous-sol</t>
  </si>
  <si>
    <t>Mu Fe</t>
  </si>
  <si>
    <t>Mont/Rolle</t>
  </si>
  <si>
    <t>To Mu</t>
  </si>
  <si>
    <t>FE Mu Sol</t>
  </si>
  <si>
    <t>ECS El</t>
  </si>
  <si>
    <t>Chauff.</t>
  </si>
  <si>
    <t>B</t>
  </si>
  <si>
    <t xml:space="preserve">CECB </t>
  </si>
  <si>
    <t>Crans VD</t>
  </si>
  <si>
    <t>Pl cnc To</t>
  </si>
  <si>
    <t>Sol cnc FE</t>
  </si>
  <si>
    <t>Puidoux</t>
  </si>
  <si>
    <t>To. Plnc</t>
  </si>
  <si>
    <t>Sol cnc</t>
  </si>
  <si>
    <t>Lonay</t>
  </si>
  <si>
    <t>Mu To Sol Pl cncMucnc</t>
  </si>
  <si>
    <t>Cheseaux-Noréaz</t>
  </si>
  <si>
    <t>Pl cnc. Mucnc</t>
  </si>
  <si>
    <t>Mu, To, Fe</t>
  </si>
  <si>
    <t>Yverdon</t>
  </si>
  <si>
    <t>Echandens</t>
  </si>
  <si>
    <t>Savigny</t>
  </si>
  <si>
    <t>Mu,To Fe</t>
  </si>
  <si>
    <t>Sol Sol cnc</t>
  </si>
  <si>
    <t>Castella Consulting</t>
  </si>
  <si>
    <t>Martin Emile</t>
  </si>
  <si>
    <t>Weinmann</t>
  </si>
  <si>
    <t>Cerruti Gingins</t>
  </si>
  <si>
    <t>Mayor David</t>
  </si>
  <si>
    <t>Carrier</t>
  </si>
  <si>
    <t>Scherrer</t>
  </si>
  <si>
    <t>Heidari</t>
  </si>
  <si>
    <t>Froidevaux</t>
  </si>
  <si>
    <t>Blaser</t>
  </si>
  <si>
    <t>Ducret</t>
  </si>
  <si>
    <t>Cuennet</t>
  </si>
  <si>
    <t>Bruder Ecodiag</t>
  </si>
  <si>
    <t>Fe. Mu cnc</t>
  </si>
  <si>
    <t>To,Sol. Mu</t>
  </si>
  <si>
    <t>Detraz ACRI Energeis</t>
  </si>
  <si>
    <t>Sol Mu</t>
  </si>
  <si>
    <t>Fe Sol cnc Mur cnc</t>
  </si>
  <si>
    <t xml:space="preserve">Ducret ACRI </t>
  </si>
  <si>
    <t>Mu fe</t>
  </si>
  <si>
    <t>So Mu cnc  Sol cnc</t>
  </si>
  <si>
    <t xml:space="preserve">Sol cnc </t>
  </si>
  <si>
    <t>Coinsins</t>
  </si>
  <si>
    <t>Bromm</t>
  </si>
  <si>
    <t>Sol, Plnc</t>
  </si>
  <si>
    <t>Solcnc</t>
  </si>
  <si>
    <t>Tout</t>
  </si>
  <si>
    <t>Electricité</t>
  </si>
  <si>
    <t>Total réel</t>
  </si>
  <si>
    <t>Ecart réel /theorique</t>
  </si>
  <si>
    <t>Les Avants</t>
  </si>
  <si>
    <t>Rhyner Energie Illarsaz</t>
  </si>
  <si>
    <t>Plcnc</t>
  </si>
  <si>
    <t>Epalinges</t>
  </si>
  <si>
    <t>La Chaux de Fonds</t>
  </si>
  <si>
    <t>en % de l'envel</t>
  </si>
  <si>
    <t>Riedweg &amp; Gendre</t>
  </si>
  <si>
    <t>Chernex</t>
  </si>
  <si>
    <t>Projeco env. sarl</t>
  </si>
  <si>
    <t>Hotte</t>
  </si>
  <si>
    <t>Pl. Fe</t>
  </si>
  <si>
    <t>Gowatt Vuitebeuf</t>
  </si>
  <si>
    <t>Fe, To</t>
  </si>
  <si>
    <t>Sol c nc</t>
  </si>
  <si>
    <t>Elect ECS</t>
  </si>
  <si>
    <t>Arzier</t>
  </si>
  <si>
    <t>Arzier -5 ans plus tard</t>
  </si>
  <si>
    <t>Marine Schalk</t>
  </si>
  <si>
    <t>Eben (C.Soutter)</t>
  </si>
  <si>
    <t>Fe. Plcn.c</t>
  </si>
  <si>
    <t>Mu, To, Sol cnc</t>
  </si>
  <si>
    <t xml:space="preserve">Chauff </t>
  </si>
  <si>
    <t>tres bon</t>
  </si>
  <si>
    <t>Sol Fe</t>
  </si>
  <si>
    <t>murs et sols cnc</t>
  </si>
  <si>
    <t>Castella JP</t>
  </si>
  <si>
    <t>Errougani</t>
  </si>
  <si>
    <t>Bongard Eponym</t>
  </si>
  <si>
    <t>Indiv  accolées PG38</t>
  </si>
  <si>
    <t>Indiv  accolées PG40</t>
  </si>
  <si>
    <t>Indiv  accolées PG44</t>
  </si>
  <si>
    <t>end</t>
  </si>
  <si>
    <t xml:space="preserve">Berweiler </t>
  </si>
  <si>
    <t xml:space="preserve">Meyer </t>
  </si>
  <si>
    <t>To. Plcnc. Munc</t>
  </si>
  <si>
    <t>Mu,Fe</t>
  </si>
  <si>
    <t>solcnc</t>
  </si>
  <si>
    <t>Fe Mu To</t>
  </si>
  <si>
    <t>Mcnc, Scnc</t>
  </si>
  <si>
    <t>Bovey</t>
  </si>
  <si>
    <t xml:space="preserve">Mu To Fe </t>
  </si>
  <si>
    <t>Mcnc Scnc</t>
  </si>
  <si>
    <t>Zuger</t>
  </si>
  <si>
    <t>Lausanne 25</t>
  </si>
  <si>
    <t>St-Légier</t>
  </si>
  <si>
    <t>Mont-sur-Rolle</t>
  </si>
  <si>
    <t>Crans (VD)</t>
  </si>
  <si>
    <t>Cheseaux-Noreaz</t>
  </si>
  <si>
    <t>Bofflens</t>
  </si>
  <si>
    <t>St-Triphon</t>
  </si>
  <si>
    <t>Renens</t>
  </si>
  <si>
    <t>Commugny</t>
  </si>
  <si>
    <t>Villars-Tiercelin</t>
  </si>
  <si>
    <t>Coppet</t>
  </si>
  <si>
    <t>Begnins</t>
  </si>
  <si>
    <t>Blonay-St-Légier</t>
  </si>
  <si>
    <t>Marrel</t>
  </si>
  <si>
    <t xml:space="preserve">Payerne </t>
  </si>
  <si>
    <t>degré couv. Chauff Elec</t>
  </si>
  <si>
    <t>Rdt CE</t>
  </si>
  <si>
    <t>degré couv. Chauff PAC</t>
  </si>
  <si>
    <t>Rdt PAC</t>
  </si>
  <si>
    <t>degré couv. Chauff Bois</t>
  </si>
  <si>
    <t>Rdt bois</t>
  </si>
  <si>
    <t xml:space="preserve">Tot.theorique dépondéré </t>
  </si>
  <si>
    <t>Commune</t>
  </si>
  <si>
    <t>Date du CECB</t>
  </si>
  <si>
    <t>Construitw en</t>
  </si>
  <si>
    <t>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</si>
</sst>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CHF&quot;\ #,##0_);[Red]\(&quot;CHF&quot;\ #,##0\)"/>
    <numFmt numFmtId="41" formatCode="_(* #,##0_);_(* \(#,##0\);_(* &quot;-&quot;_);_(@_)"/>
    <numFmt numFmtId="164" formatCode="_(* #,##0.0_);_(* \(#,##0.0\);_(* &quot;-&quot;_);_(@_)"/>
    <numFmt numFmtId="165" formatCode="0.0"/>
    <numFmt numFmtId="166" formatCode="0.0%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14" fontId="0" fillId="0" borderId="0" xfId="0" applyNumberFormat="1"/>
    <xf numFmtId="0" fontId="2" fillId="0" borderId="0" xfId="0" applyFont="1" applyAlignment="1">
      <alignment wrapText="1"/>
    </xf>
    <xf numFmtId="9" fontId="2" fillId="0" borderId="0" xfId="2" applyFont="1" applyAlignment="1">
      <alignment wrapText="1"/>
    </xf>
    <xf numFmtId="9" fontId="0" fillId="0" borderId="0" xfId="2" applyFont="1"/>
    <xf numFmtId="41" fontId="2" fillId="0" borderId="0" xfId="1" applyFont="1" applyAlignment="1">
      <alignment wrapText="1"/>
    </xf>
    <xf numFmtId="41" fontId="0" fillId="0" borderId="0" xfId="1" applyFont="1"/>
    <xf numFmtId="0" fontId="2" fillId="0" borderId="0" xfId="0" applyFont="1" applyAlignment="1">
      <alignment horizontal="center" wrapText="1"/>
    </xf>
    <xf numFmtId="164" fontId="2" fillId="0" borderId="0" xfId="1" applyNumberFormat="1" applyFont="1" applyAlignment="1">
      <alignment wrapText="1"/>
    </xf>
    <xf numFmtId="164" fontId="0" fillId="0" borderId="0" xfId="1" applyNumberFormat="1" applyFont="1"/>
    <xf numFmtId="41" fontId="0" fillId="0" borderId="0" xfId="1" applyFont="1" applyAlignment="1">
      <alignment horizontal="center"/>
    </xf>
    <xf numFmtId="41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6" fontId="0" fillId="0" borderId="0" xfId="0" applyNumberFormat="1"/>
    <xf numFmtId="165" fontId="0" fillId="0" borderId="0" xfId="0" applyNumberFormat="1"/>
    <xf numFmtId="9" fontId="0" fillId="0" borderId="0" xfId="0" applyNumberFormat="1"/>
    <xf numFmtId="41" fontId="2" fillId="0" borderId="0" xfId="1" applyFont="1" applyAlignment="1">
      <alignment horizontal="center" wrapText="1"/>
    </xf>
    <xf numFmtId="2" fontId="0" fillId="0" borderId="0" xfId="0" applyNumberFormat="1"/>
    <xf numFmtId="166" fontId="0" fillId="0" borderId="0" xfId="2" applyNumberFormat="1" applyFont="1"/>
    <xf numFmtId="41" fontId="0" fillId="0" borderId="0" xfId="1" applyFont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41" fontId="2" fillId="0" borderId="0" xfId="1" applyFont="1" applyAlignment="1">
      <alignment horizontal="center" wrapText="1"/>
    </xf>
    <xf numFmtId="166" fontId="2" fillId="0" borderId="0" xfId="2" applyNumberFormat="1" applyFont="1" applyAlignment="1">
      <alignment horizontal="center" wrapText="1"/>
    </xf>
  </cellXfs>
  <cellStyles count="3">
    <cellStyle name="Milliers [0]" xfId="1" builtinId="6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42DAA-5A32-4D71-A93B-4831954FF4EF}">
  <sheetPr>
    <pageSetUpPr fitToPage="1"/>
  </sheetPr>
  <dimension ref="A1:AM60"/>
  <sheetViews>
    <sheetView workbookViewId="0">
      <pane xSplit="1" ySplit="2" topLeftCell="C44" activePane="bottomRight" state="frozen"/>
      <selection pane="topRight" activeCell="B1" sqref="B1"/>
      <selection pane="bottomLeft" activeCell="A3" sqref="A3"/>
      <selection pane="bottomRight" activeCell="A62" sqref="A62"/>
    </sheetView>
  </sheetViews>
  <sheetFormatPr baseColWidth="10" defaultRowHeight="14.5" x14ac:dyDescent="0.35"/>
  <cols>
    <col min="2" max="2" width="0" hidden="1" customWidth="1"/>
    <col min="4" max="4" width="14" customWidth="1"/>
    <col min="5" max="5" width="11.36328125" customWidth="1"/>
    <col min="6" max="6" width="10.90625" style="13" customWidth="1"/>
    <col min="7" max="7" width="10.90625" customWidth="1"/>
    <col min="8" max="8" width="11.6328125" style="13" customWidth="1"/>
    <col min="9" max="10" width="10.90625" customWidth="1"/>
    <col min="11" max="11" width="10.90625" style="14" customWidth="1"/>
    <col min="12" max="12" width="12.90625" customWidth="1"/>
    <col min="13" max="13" width="10.90625" customWidth="1"/>
    <col min="14" max="17" width="10.90625" style="6" customWidth="1"/>
    <col min="18" max="18" width="12.81640625" style="6" customWidth="1"/>
    <col min="19" max="19" width="10.90625" style="6" customWidth="1"/>
    <col min="20" max="20" width="11.1796875" customWidth="1"/>
    <col min="23" max="23" width="10.90625" style="4"/>
    <col min="26" max="26" width="10.90625" style="4"/>
    <col min="29" max="29" width="10.90625" style="4"/>
  </cols>
  <sheetData>
    <row r="1" spans="1:39" s="2" customFormat="1" ht="15" customHeight="1" x14ac:dyDescent="0.35">
      <c r="A1" s="7"/>
      <c r="F1" s="25" t="s">
        <v>143</v>
      </c>
      <c r="G1" s="25"/>
      <c r="H1" s="25" t="s">
        <v>144</v>
      </c>
      <c r="I1" s="25"/>
      <c r="J1" s="7"/>
      <c r="K1" s="25" t="s">
        <v>145</v>
      </c>
      <c r="L1" s="25"/>
      <c r="M1" s="2" t="s">
        <v>150</v>
      </c>
      <c r="N1" s="26" t="s">
        <v>141</v>
      </c>
      <c r="O1" s="26"/>
      <c r="P1" s="26"/>
      <c r="Q1" s="26"/>
      <c r="R1" s="20"/>
      <c r="S1" s="20"/>
      <c r="W1" s="25" t="s">
        <v>28</v>
      </c>
      <c r="X1" s="25"/>
      <c r="Y1" s="25"/>
      <c r="Z1" s="25" t="s">
        <v>31</v>
      </c>
      <c r="AA1" s="25"/>
      <c r="AB1" s="25"/>
      <c r="AC1" s="25" t="s">
        <v>62</v>
      </c>
      <c r="AD1" s="25"/>
      <c r="AE1" s="25"/>
      <c r="AF1" s="25" t="s">
        <v>32</v>
      </c>
      <c r="AG1" s="25"/>
      <c r="AH1" s="25"/>
      <c r="AI1" s="25" t="s">
        <v>33</v>
      </c>
      <c r="AJ1" s="25"/>
      <c r="AK1" s="25"/>
      <c r="AL1" s="25" t="s">
        <v>41</v>
      </c>
      <c r="AM1" s="25"/>
    </row>
    <row r="2" spans="1:39" s="2" customFormat="1" ht="43.5" x14ac:dyDescent="0.35">
      <c r="A2" s="2" t="s">
        <v>0</v>
      </c>
      <c r="B2" s="2" t="s">
        <v>1</v>
      </c>
      <c r="C2" s="2" t="s">
        <v>286</v>
      </c>
      <c r="D2" s="2" t="s">
        <v>284</v>
      </c>
      <c r="E2" s="2" t="s">
        <v>285</v>
      </c>
      <c r="F2" s="12" t="s">
        <v>146</v>
      </c>
      <c r="G2" s="2" t="s">
        <v>4</v>
      </c>
      <c r="H2" s="12" t="s">
        <v>147</v>
      </c>
      <c r="I2" s="2" t="s">
        <v>5</v>
      </c>
      <c r="J2" s="2" t="s">
        <v>224</v>
      </c>
      <c r="K2" s="7" t="s">
        <v>148</v>
      </c>
      <c r="L2" s="2" t="s">
        <v>8</v>
      </c>
      <c r="M2" s="2" t="s">
        <v>7</v>
      </c>
      <c r="N2" s="5" t="s">
        <v>54</v>
      </c>
      <c r="O2" s="5" t="s">
        <v>78</v>
      </c>
      <c r="P2" s="5" t="s">
        <v>142</v>
      </c>
      <c r="Q2" s="5" t="s">
        <v>217</v>
      </c>
      <c r="R2" s="5" t="s">
        <v>283</v>
      </c>
      <c r="S2" s="5" t="s">
        <v>218</v>
      </c>
      <c r="T2" s="2" t="s">
        <v>14</v>
      </c>
      <c r="U2" s="2" t="s">
        <v>19</v>
      </c>
      <c r="V2" s="2" t="s">
        <v>139</v>
      </c>
      <c r="W2" s="3" t="s">
        <v>277</v>
      </c>
      <c r="X2" s="2" t="s">
        <v>278</v>
      </c>
      <c r="Y2" s="2" t="s">
        <v>30</v>
      </c>
      <c r="Z2" s="3" t="s">
        <v>281</v>
      </c>
      <c r="AA2" s="2" t="s">
        <v>282</v>
      </c>
      <c r="AB2" s="2" t="s">
        <v>30</v>
      </c>
      <c r="AC2" s="3" t="s">
        <v>63</v>
      </c>
      <c r="AD2" s="2" t="s">
        <v>29</v>
      </c>
      <c r="AE2" s="2" t="s">
        <v>30</v>
      </c>
      <c r="AF2" s="3" t="s">
        <v>34</v>
      </c>
      <c r="AG2" s="2" t="s">
        <v>29</v>
      </c>
      <c r="AH2" s="2" t="s">
        <v>30</v>
      </c>
      <c r="AI2" s="3" t="s">
        <v>34</v>
      </c>
      <c r="AJ2" s="2" t="s">
        <v>29</v>
      </c>
      <c r="AK2" s="2" t="s">
        <v>30</v>
      </c>
      <c r="AL2" s="2" t="s">
        <v>42</v>
      </c>
      <c r="AM2" s="2" t="s">
        <v>43</v>
      </c>
    </row>
    <row r="3" spans="1:39" x14ac:dyDescent="0.35">
      <c r="A3">
        <v>54</v>
      </c>
      <c r="B3" t="s">
        <v>89</v>
      </c>
      <c r="C3">
        <v>1990</v>
      </c>
      <c r="D3" t="s">
        <v>89</v>
      </c>
      <c r="E3" s="1">
        <f>+DATE(2023,1,30)</f>
        <v>44956</v>
      </c>
      <c r="F3" s="13" t="s">
        <v>6</v>
      </c>
      <c r="G3">
        <v>52</v>
      </c>
      <c r="H3" s="13" t="s">
        <v>6</v>
      </c>
      <c r="I3">
        <v>126</v>
      </c>
      <c r="J3" s="4">
        <f t="shared" ref="J3:J34" si="0">+I3/G3</f>
        <v>2.4230769230769229</v>
      </c>
      <c r="K3" s="14" t="s">
        <v>13</v>
      </c>
      <c r="M3">
        <v>8</v>
      </c>
      <c r="N3" s="6">
        <v>10230</v>
      </c>
      <c r="O3" s="6">
        <v>1100</v>
      </c>
      <c r="P3" s="6">
        <v>3200</v>
      </c>
      <c r="Q3" s="6">
        <f t="shared" ref="Q3:Q19" si="1">+SUM(N3:P3)</f>
        <v>14530</v>
      </c>
      <c r="R3" s="6">
        <f t="shared" ref="R3:R34" si="2">+T3*I3/((2*W3)+(0.5*Z3))</f>
        <v>10624.864864864865</v>
      </c>
      <c r="S3" s="22">
        <f t="shared" ref="S3:S28" si="3">+Q3/R3-1</f>
        <v>0.36754680504680493</v>
      </c>
      <c r="T3" s="6">
        <v>156</v>
      </c>
      <c r="U3" t="s">
        <v>20</v>
      </c>
      <c r="V3">
        <v>54</v>
      </c>
      <c r="W3" s="4">
        <v>0.9</v>
      </c>
      <c r="X3">
        <v>0.94</v>
      </c>
      <c r="Y3">
        <v>1990</v>
      </c>
      <c r="Z3" s="4">
        <v>0.1</v>
      </c>
      <c r="AA3">
        <v>0.8</v>
      </c>
      <c r="AB3">
        <v>2013</v>
      </c>
      <c r="AF3" s="19">
        <v>1</v>
      </c>
      <c r="AG3">
        <v>2.8</v>
      </c>
      <c r="AH3">
        <v>2013</v>
      </c>
      <c r="AL3">
        <v>4500</v>
      </c>
      <c r="AM3">
        <v>2691</v>
      </c>
    </row>
    <row r="4" spans="1:39" x14ac:dyDescent="0.35">
      <c r="A4">
        <v>24</v>
      </c>
      <c r="B4" t="s">
        <v>69</v>
      </c>
      <c r="C4">
        <v>1987</v>
      </c>
      <c r="D4" t="s">
        <v>69</v>
      </c>
      <c r="E4" s="1">
        <f>+DATE(2022,9,17)</f>
        <v>44821</v>
      </c>
      <c r="F4" s="13" t="s">
        <v>6</v>
      </c>
      <c r="G4">
        <v>57</v>
      </c>
      <c r="H4" s="13" t="s">
        <v>58</v>
      </c>
      <c r="I4">
        <v>184</v>
      </c>
      <c r="J4" s="4">
        <f t="shared" si="0"/>
        <v>3.2280701754385963</v>
      </c>
      <c r="M4">
        <v>13</v>
      </c>
      <c r="N4" s="6">
        <v>11530</v>
      </c>
      <c r="O4" s="6">
        <v>1310</v>
      </c>
      <c r="P4" s="6">
        <v>6100</v>
      </c>
      <c r="Q4" s="6">
        <f t="shared" si="1"/>
        <v>18940</v>
      </c>
      <c r="R4" s="6">
        <f t="shared" si="2"/>
        <v>20516</v>
      </c>
      <c r="S4" s="22">
        <f t="shared" si="3"/>
        <v>-7.681809319555466E-2</v>
      </c>
      <c r="T4" s="6">
        <v>223</v>
      </c>
      <c r="U4" t="s">
        <v>20</v>
      </c>
      <c r="V4">
        <v>24</v>
      </c>
      <c r="W4" s="4">
        <v>1</v>
      </c>
      <c r="X4">
        <v>0.94</v>
      </c>
      <c r="Y4">
        <v>1987</v>
      </c>
      <c r="AA4">
        <v>0.75</v>
      </c>
      <c r="AB4">
        <v>2010</v>
      </c>
      <c r="AC4" s="4">
        <v>0.31</v>
      </c>
      <c r="AD4">
        <v>0.93</v>
      </c>
      <c r="AE4">
        <v>2010</v>
      </c>
      <c r="AI4">
        <v>0.69</v>
      </c>
      <c r="AJ4">
        <v>0.6</v>
      </c>
      <c r="AK4">
        <v>2009</v>
      </c>
    </row>
    <row r="5" spans="1:39" x14ac:dyDescent="0.35">
      <c r="A5">
        <v>29</v>
      </c>
      <c r="B5" t="s">
        <v>157</v>
      </c>
      <c r="C5">
        <v>1972</v>
      </c>
      <c r="D5" t="s">
        <v>157</v>
      </c>
      <c r="E5" s="1">
        <f>+DATE(2022,9,26)</f>
        <v>44830</v>
      </c>
      <c r="F5" s="13" t="s">
        <v>6</v>
      </c>
      <c r="G5">
        <v>59</v>
      </c>
      <c r="H5" s="13" t="s">
        <v>6</v>
      </c>
      <c r="I5">
        <v>139</v>
      </c>
      <c r="J5" s="4">
        <f t="shared" si="0"/>
        <v>2.3559322033898304</v>
      </c>
      <c r="M5">
        <v>10</v>
      </c>
      <c r="N5" s="6">
        <v>6260</v>
      </c>
      <c r="O5" s="6">
        <v>540</v>
      </c>
      <c r="P5" s="6">
        <v>4200</v>
      </c>
      <c r="Q5" s="6">
        <f t="shared" si="1"/>
        <v>11000</v>
      </c>
      <c r="R5" s="6">
        <f t="shared" si="2"/>
        <v>14108.5</v>
      </c>
      <c r="S5" s="22">
        <f t="shared" si="3"/>
        <v>-0.22032817096076829</v>
      </c>
      <c r="T5" s="6">
        <v>203</v>
      </c>
      <c r="U5" t="s">
        <v>20</v>
      </c>
      <c r="V5">
        <v>29</v>
      </c>
      <c r="W5" s="4">
        <v>1</v>
      </c>
      <c r="X5">
        <v>0.94</v>
      </c>
      <c r="Y5">
        <v>1973</v>
      </c>
      <c r="AF5">
        <v>100</v>
      </c>
      <c r="AG5">
        <v>2.8</v>
      </c>
      <c r="AH5">
        <v>2020</v>
      </c>
      <c r="AL5">
        <v>9000</v>
      </c>
      <c r="AM5">
        <v>4680</v>
      </c>
    </row>
    <row r="6" spans="1:39" x14ac:dyDescent="0.35">
      <c r="A6">
        <v>45</v>
      </c>
      <c r="B6" t="s">
        <v>181</v>
      </c>
      <c r="C6">
        <v>1985</v>
      </c>
      <c r="D6" t="s">
        <v>266</v>
      </c>
      <c r="E6" s="1">
        <f>+DATE(2019,4,5)</f>
        <v>43560</v>
      </c>
      <c r="F6" s="13" t="s">
        <v>6</v>
      </c>
      <c r="G6">
        <v>59</v>
      </c>
      <c r="H6" s="13" t="s">
        <v>58</v>
      </c>
      <c r="I6">
        <v>200</v>
      </c>
      <c r="J6" s="4">
        <f t="shared" si="0"/>
        <v>3.3898305084745761</v>
      </c>
      <c r="L6">
        <v>15</v>
      </c>
      <c r="N6" s="6">
        <v>9020</v>
      </c>
      <c r="O6" s="6">
        <v>3010</v>
      </c>
      <c r="P6" s="6">
        <v>3000</v>
      </c>
      <c r="Q6" s="6">
        <f t="shared" si="1"/>
        <v>15030</v>
      </c>
      <c r="R6" s="6">
        <f t="shared" si="2"/>
        <v>14480</v>
      </c>
      <c r="S6" s="22">
        <f t="shared" si="3"/>
        <v>3.7983425414364724E-2</v>
      </c>
      <c r="T6" s="6">
        <v>181</v>
      </c>
      <c r="U6" t="s">
        <v>20</v>
      </c>
      <c r="V6">
        <v>45</v>
      </c>
      <c r="W6" s="4">
        <v>1</v>
      </c>
      <c r="X6">
        <v>0.94</v>
      </c>
      <c r="Y6">
        <v>1985</v>
      </c>
      <c r="Z6" s="4">
        <v>1</v>
      </c>
      <c r="AA6">
        <v>0.69</v>
      </c>
      <c r="AB6">
        <v>1985</v>
      </c>
      <c r="AC6" s="4">
        <v>1</v>
      </c>
      <c r="AD6">
        <v>0.93</v>
      </c>
      <c r="AE6">
        <v>1985</v>
      </c>
    </row>
    <row r="7" spans="1:39" x14ac:dyDescent="0.35">
      <c r="A7">
        <v>52</v>
      </c>
      <c r="B7" t="s">
        <v>89</v>
      </c>
      <c r="C7">
        <v>1988</v>
      </c>
      <c r="D7" t="s">
        <v>89</v>
      </c>
      <c r="E7" s="1">
        <f>+DATE(2019,3,19)</f>
        <v>43543</v>
      </c>
      <c r="F7" s="13" t="s">
        <v>6</v>
      </c>
      <c r="G7">
        <v>59</v>
      </c>
      <c r="H7" s="13" t="s">
        <v>58</v>
      </c>
      <c r="I7">
        <v>206</v>
      </c>
      <c r="J7" s="4">
        <f t="shared" si="0"/>
        <v>3.4915254237288136</v>
      </c>
      <c r="L7">
        <v>16</v>
      </c>
      <c r="N7" s="6">
        <v>6200</v>
      </c>
      <c r="O7" s="6">
        <v>2410</v>
      </c>
      <c r="P7" s="6">
        <v>3300</v>
      </c>
      <c r="Q7" s="6">
        <f t="shared" si="1"/>
        <v>11910</v>
      </c>
      <c r="R7" s="6">
        <f t="shared" si="2"/>
        <v>15656</v>
      </c>
      <c r="S7" s="22">
        <f t="shared" si="3"/>
        <v>-0.23926928972917727</v>
      </c>
      <c r="T7" s="6">
        <v>152</v>
      </c>
      <c r="U7" t="s">
        <v>20</v>
      </c>
      <c r="V7">
        <v>52</v>
      </c>
      <c r="W7" s="4">
        <v>1</v>
      </c>
      <c r="X7">
        <v>0.94</v>
      </c>
      <c r="Y7">
        <v>1988</v>
      </c>
      <c r="AC7" s="4">
        <v>1</v>
      </c>
      <c r="AD7">
        <v>0.93</v>
      </c>
      <c r="AE7">
        <v>2000</v>
      </c>
    </row>
    <row r="8" spans="1:39" x14ac:dyDescent="0.35">
      <c r="A8">
        <v>1</v>
      </c>
      <c r="B8" t="s">
        <v>137</v>
      </c>
      <c r="C8">
        <v>1973</v>
      </c>
      <c r="D8" t="s">
        <v>137</v>
      </c>
      <c r="E8" s="1">
        <f>+DATE(2023,2,2)</f>
        <v>44959</v>
      </c>
      <c r="F8" s="13" t="s">
        <v>6</v>
      </c>
      <c r="G8">
        <v>63</v>
      </c>
      <c r="H8" s="13" t="s">
        <v>59</v>
      </c>
      <c r="I8">
        <v>213</v>
      </c>
      <c r="J8" s="4">
        <f t="shared" si="0"/>
        <v>3.3809523809523809</v>
      </c>
      <c r="K8" s="14" t="s">
        <v>13</v>
      </c>
      <c r="M8">
        <v>13</v>
      </c>
      <c r="N8" s="6">
        <v>12540</v>
      </c>
      <c r="O8" s="6">
        <v>4320</v>
      </c>
      <c r="P8" s="6">
        <v>3550</v>
      </c>
      <c r="Q8" s="6">
        <f t="shared" si="1"/>
        <v>20410</v>
      </c>
      <c r="R8" s="6">
        <f t="shared" si="2"/>
        <v>21184.864864864863</v>
      </c>
      <c r="S8" s="22">
        <f t="shared" si="3"/>
        <v>-3.6576342110634763E-2</v>
      </c>
      <c r="T8" s="6">
        <v>184</v>
      </c>
      <c r="U8" t="s">
        <v>20</v>
      </c>
      <c r="V8">
        <v>1</v>
      </c>
      <c r="W8" s="4">
        <v>0.9</v>
      </c>
      <c r="X8">
        <v>0.94</v>
      </c>
      <c r="Y8">
        <v>1973</v>
      </c>
      <c r="Z8" s="4">
        <v>0.1</v>
      </c>
      <c r="AA8">
        <v>0.69</v>
      </c>
      <c r="AB8">
        <v>1973</v>
      </c>
      <c r="AC8" s="4">
        <v>1</v>
      </c>
      <c r="AD8">
        <v>0.93</v>
      </c>
      <c r="AE8">
        <v>1973</v>
      </c>
    </row>
    <row r="9" spans="1:39" x14ac:dyDescent="0.35">
      <c r="A9">
        <v>67</v>
      </c>
      <c r="C9">
        <v>1986</v>
      </c>
      <c r="D9" t="s">
        <v>267</v>
      </c>
      <c r="E9" s="1">
        <v>44270</v>
      </c>
      <c r="F9" s="13" t="s">
        <v>6</v>
      </c>
      <c r="G9">
        <v>63</v>
      </c>
      <c r="H9" s="13" t="s">
        <v>171</v>
      </c>
      <c r="I9">
        <v>92</v>
      </c>
      <c r="J9" s="4">
        <f t="shared" si="0"/>
        <v>1.4603174603174602</v>
      </c>
      <c r="L9">
        <v>7</v>
      </c>
      <c r="N9" s="6">
        <v>14910</v>
      </c>
      <c r="O9" s="6">
        <v>1300</v>
      </c>
      <c r="P9" s="6">
        <v>1500</v>
      </c>
      <c r="Q9" s="6">
        <f t="shared" si="1"/>
        <v>17710</v>
      </c>
      <c r="R9" s="6">
        <f t="shared" si="2"/>
        <v>8694</v>
      </c>
      <c r="S9" s="22">
        <f t="shared" si="3"/>
        <v>1.0370370370370372</v>
      </c>
      <c r="T9" s="6">
        <v>189</v>
      </c>
      <c r="U9" t="s">
        <v>20</v>
      </c>
      <c r="V9">
        <v>67</v>
      </c>
      <c r="W9" s="4">
        <v>1</v>
      </c>
      <c r="X9">
        <v>0.94</v>
      </c>
      <c r="Y9">
        <v>1986</v>
      </c>
      <c r="AF9">
        <v>100</v>
      </c>
      <c r="AG9">
        <v>2.8</v>
      </c>
      <c r="AH9">
        <v>2020</v>
      </c>
      <c r="AL9">
        <v>18000</v>
      </c>
      <c r="AM9">
        <v>9360</v>
      </c>
    </row>
    <row r="10" spans="1:39" x14ac:dyDescent="0.35">
      <c r="A10">
        <v>46</v>
      </c>
      <c r="B10" t="s">
        <v>184</v>
      </c>
      <c r="C10">
        <v>1984</v>
      </c>
      <c r="D10" t="s">
        <v>184</v>
      </c>
      <c r="E10" s="1">
        <f>+DATE(2023,6,23)</f>
        <v>45100</v>
      </c>
      <c r="F10" s="13" t="s">
        <v>58</v>
      </c>
      <c r="G10">
        <v>63</v>
      </c>
      <c r="H10" s="13" t="s">
        <v>81</v>
      </c>
      <c r="I10">
        <v>306</v>
      </c>
      <c r="J10" s="4">
        <f t="shared" si="0"/>
        <v>4.8571428571428568</v>
      </c>
      <c r="K10" s="14" t="s">
        <v>13</v>
      </c>
      <c r="M10">
        <v>20</v>
      </c>
      <c r="N10" s="6">
        <v>9750</v>
      </c>
      <c r="O10" s="6">
        <v>3000</v>
      </c>
      <c r="P10" s="6">
        <v>2610</v>
      </c>
      <c r="Q10" s="6">
        <f t="shared" si="1"/>
        <v>15360</v>
      </c>
      <c r="R10" s="6">
        <f t="shared" si="2"/>
        <v>17901</v>
      </c>
      <c r="S10" s="22">
        <f t="shared" si="3"/>
        <v>-0.14194737724149487</v>
      </c>
      <c r="T10" s="6">
        <v>117</v>
      </c>
      <c r="U10" t="s">
        <v>20</v>
      </c>
      <c r="V10">
        <v>46</v>
      </c>
      <c r="W10" s="4">
        <v>1</v>
      </c>
      <c r="X10">
        <v>0.94</v>
      </c>
    </row>
    <row r="11" spans="1:39" x14ac:dyDescent="0.35">
      <c r="A11">
        <v>58</v>
      </c>
      <c r="B11" t="s">
        <v>211</v>
      </c>
      <c r="C11">
        <v>1987</v>
      </c>
      <c r="D11" t="s">
        <v>211</v>
      </c>
      <c r="E11" s="1">
        <f>+DATE(2018,5,14)</f>
        <v>43234</v>
      </c>
      <c r="F11" s="13" t="s">
        <v>6</v>
      </c>
      <c r="G11">
        <v>64</v>
      </c>
      <c r="H11" s="13" t="s">
        <v>59</v>
      </c>
      <c r="I11">
        <v>258</v>
      </c>
      <c r="J11" s="4">
        <f t="shared" si="0"/>
        <v>4.03125</v>
      </c>
      <c r="M11">
        <v>20</v>
      </c>
      <c r="N11" s="6">
        <v>7080</v>
      </c>
      <c r="O11" s="6">
        <v>2490</v>
      </c>
      <c r="P11" s="6">
        <v>4570</v>
      </c>
      <c r="Q11" s="6">
        <f t="shared" si="1"/>
        <v>14140</v>
      </c>
      <c r="R11" s="6">
        <f t="shared" si="2"/>
        <v>15867</v>
      </c>
      <c r="S11" s="22">
        <f t="shared" si="3"/>
        <v>-0.10884225121320978</v>
      </c>
      <c r="T11" s="6">
        <v>123</v>
      </c>
      <c r="U11" t="s">
        <v>20</v>
      </c>
      <c r="V11">
        <v>58</v>
      </c>
      <c r="W11" s="4">
        <v>1</v>
      </c>
      <c r="X11">
        <v>0.94</v>
      </c>
      <c r="Y11">
        <v>1987</v>
      </c>
      <c r="AC11" s="4">
        <v>1</v>
      </c>
      <c r="AD11">
        <v>0.93</v>
      </c>
      <c r="AE11">
        <v>1987</v>
      </c>
    </row>
    <row r="12" spans="1:39" x14ac:dyDescent="0.35">
      <c r="A12">
        <v>80</v>
      </c>
      <c r="C12">
        <v>1986</v>
      </c>
      <c r="D12" t="s">
        <v>272</v>
      </c>
      <c r="E12" s="1">
        <v>43966</v>
      </c>
      <c r="F12" s="13" t="s">
        <v>58</v>
      </c>
      <c r="G12">
        <v>64</v>
      </c>
      <c r="H12" s="13" t="s">
        <v>59</v>
      </c>
      <c r="I12">
        <v>214</v>
      </c>
      <c r="J12" s="4">
        <f t="shared" si="0"/>
        <v>3.34375</v>
      </c>
      <c r="L12">
        <v>16</v>
      </c>
      <c r="N12" s="6">
        <v>11170</v>
      </c>
      <c r="O12" s="6">
        <v>4000</v>
      </c>
      <c r="P12" s="6">
        <v>3340</v>
      </c>
      <c r="Q12" s="6">
        <f t="shared" si="1"/>
        <v>18510</v>
      </c>
      <c r="R12" s="6">
        <f t="shared" si="2"/>
        <v>20865</v>
      </c>
      <c r="S12" s="22">
        <f t="shared" si="3"/>
        <v>-0.11286843997124374</v>
      </c>
      <c r="T12" s="6">
        <v>195</v>
      </c>
      <c r="U12" t="s">
        <v>20</v>
      </c>
      <c r="V12">
        <v>80</v>
      </c>
      <c r="W12" s="4">
        <v>1</v>
      </c>
      <c r="X12">
        <v>0.94</v>
      </c>
      <c r="Y12">
        <v>1981</v>
      </c>
      <c r="AC12" s="4">
        <v>1</v>
      </c>
      <c r="AD12">
        <v>0.93</v>
      </c>
      <c r="AE12">
        <v>2010</v>
      </c>
    </row>
    <row r="13" spans="1:39" x14ac:dyDescent="0.35">
      <c r="A13">
        <v>43</v>
      </c>
      <c r="B13" t="s">
        <v>176</v>
      </c>
      <c r="C13">
        <v>1984</v>
      </c>
      <c r="D13" t="s">
        <v>176</v>
      </c>
      <c r="E13" s="1">
        <f>+DATE(2023,3,27)</f>
        <v>45012</v>
      </c>
      <c r="F13" s="13" t="s">
        <v>6</v>
      </c>
      <c r="G13">
        <v>66</v>
      </c>
      <c r="H13" s="13" t="s">
        <v>81</v>
      </c>
      <c r="I13">
        <v>276</v>
      </c>
      <c r="J13" s="4">
        <f t="shared" si="0"/>
        <v>4.1818181818181817</v>
      </c>
      <c r="K13" s="14" t="s">
        <v>13</v>
      </c>
      <c r="M13">
        <v>17</v>
      </c>
      <c r="N13" s="6">
        <v>5070</v>
      </c>
      <c r="O13" s="6">
        <v>4640</v>
      </c>
      <c r="P13" s="6">
        <v>3460</v>
      </c>
      <c r="Q13" s="6">
        <f t="shared" si="1"/>
        <v>13170</v>
      </c>
      <c r="R13" s="6">
        <f t="shared" si="2"/>
        <v>17455.135135135133</v>
      </c>
      <c r="S13" s="22">
        <f t="shared" si="3"/>
        <v>-0.24549424005945741</v>
      </c>
      <c r="T13" s="6">
        <v>117</v>
      </c>
      <c r="U13" t="s">
        <v>20</v>
      </c>
      <c r="V13">
        <v>43</v>
      </c>
      <c r="W13" s="4">
        <v>0.9</v>
      </c>
      <c r="X13">
        <v>0.93</v>
      </c>
      <c r="Y13">
        <v>2012</v>
      </c>
      <c r="Z13" s="4">
        <v>0.1</v>
      </c>
      <c r="AA13">
        <v>0.7</v>
      </c>
      <c r="AB13">
        <v>2017</v>
      </c>
      <c r="AC13" s="4">
        <v>1</v>
      </c>
      <c r="AD13">
        <v>0.93</v>
      </c>
      <c r="AE13">
        <v>2017</v>
      </c>
    </row>
    <row r="14" spans="1:39" x14ac:dyDescent="0.35">
      <c r="A14">
        <v>55</v>
      </c>
      <c r="B14" t="s">
        <v>173</v>
      </c>
      <c r="C14">
        <v>1989</v>
      </c>
      <c r="D14" t="s">
        <v>265</v>
      </c>
      <c r="E14" s="1">
        <f>+DATE(2024,5,28)</f>
        <v>45440</v>
      </c>
      <c r="F14" s="13" t="s">
        <v>6</v>
      </c>
      <c r="G14">
        <v>66</v>
      </c>
      <c r="H14" s="13" t="s">
        <v>6</v>
      </c>
      <c r="I14">
        <v>134</v>
      </c>
      <c r="J14" s="4">
        <f t="shared" si="0"/>
        <v>2.0303030303030303</v>
      </c>
      <c r="K14" s="14" t="s">
        <v>13</v>
      </c>
      <c r="M14">
        <v>8</v>
      </c>
      <c r="N14" s="6">
        <v>14400</v>
      </c>
      <c r="O14" s="6">
        <v>3600</v>
      </c>
      <c r="P14" s="6">
        <v>18000</v>
      </c>
      <c r="Q14" s="6">
        <f t="shared" si="1"/>
        <v>36000</v>
      </c>
      <c r="R14" s="6">
        <f t="shared" si="2"/>
        <v>9782</v>
      </c>
      <c r="S14" s="22">
        <f t="shared" si="3"/>
        <v>2.6802289920261706</v>
      </c>
      <c r="T14" s="6">
        <v>146</v>
      </c>
      <c r="U14" t="s">
        <v>20</v>
      </c>
      <c r="V14">
        <v>55</v>
      </c>
      <c r="W14" s="4">
        <v>1</v>
      </c>
      <c r="X14">
        <v>0.94</v>
      </c>
      <c r="Y14">
        <v>1989</v>
      </c>
      <c r="AC14" s="4">
        <v>1</v>
      </c>
      <c r="AD14">
        <v>0.93</v>
      </c>
      <c r="AE14">
        <v>2020</v>
      </c>
      <c r="AL14">
        <v>12600</v>
      </c>
      <c r="AM14">
        <v>6552</v>
      </c>
    </row>
    <row r="15" spans="1:39" x14ac:dyDescent="0.35">
      <c r="A15">
        <v>31</v>
      </c>
      <c r="B15" t="s">
        <v>164</v>
      </c>
      <c r="C15">
        <v>1982</v>
      </c>
      <c r="D15" t="s">
        <v>263</v>
      </c>
      <c r="E15" s="1">
        <f>+DATE(2023,8,10)</f>
        <v>45148</v>
      </c>
      <c r="F15" s="13" t="s">
        <v>58</v>
      </c>
      <c r="G15">
        <v>67</v>
      </c>
      <c r="H15" s="13" t="s">
        <v>58</v>
      </c>
      <c r="I15">
        <v>194</v>
      </c>
      <c r="J15" s="4">
        <f t="shared" si="0"/>
        <v>2.8955223880597014</v>
      </c>
      <c r="K15" s="14" t="s">
        <v>13</v>
      </c>
      <c r="M15">
        <v>10</v>
      </c>
      <c r="N15" s="6">
        <v>12090</v>
      </c>
      <c r="O15" s="6">
        <v>910</v>
      </c>
      <c r="P15" s="6">
        <v>3500</v>
      </c>
      <c r="Q15" s="6">
        <f t="shared" si="1"/>
        <v>16500</v>
      </c>
      <c r="R15" s="6">
        <f t="shared" si="2"/>
        <v>20176</v>
      </c>
      <c r="S15" s="22">
        <f t="shared" si="3"/>
        <v>-0.18219666931007139</v>
      </c>
      <c r="T15" s="6">
        <v>208</v>
      </c>
      <c r="U15" t="s">
        <v>20</v>
      </c>
      <c r="V15">
        <v>31</v>
      </c>
      <c r="W15" s="4">
        <v>1</v>
      </c>
      <c r="X15">
        <v>0.94</v>
      </c>
      <c r="Y15">
        <v>1982</v>
      </c>
      <c r="AF15" s="4">
        <v>1</v>
      </c>
      <c r="AG15">
        <v>2.8</v>
      </c>
      <c r="AH15">
        <v>2017</v>
      </c>
    </row>
    <row r="16" spans="1:39" x14ac:dyDescent="0.35">
      <c r="A16">
        <v>3</v>
      </c>
      <c r="B16" t="s">
        <v>132</v>
      </c>
      <c r="C16">
        <v>1983</v>
      </c>
      <c r="D16" t="s">
        <v>132</v>
      </c>
      <c r="E16" s="1">
        <f>+DATE(2020,4,27)</f>
        <v>43948</v>
      </c>
      <c r="F16" s="13" t="s">
        <v>6</v>
      </c>
      <c r="G16">
        <v>69</v>
      </c>
      <c r="H16" s="13" t="s">
        <v>58</v>
      </c>
      <c r="I16">
        <v>211</v>
      </c>
      <c r="J16" s="4">
        <f t="shared" si="0"/>
        <v>3.0579710144927534</v>
      </c>
      <c r="M16">
        <v>16</v>
      </c>
      <c r="N16" s="6">
        <v>11200</v>
      </c>
      <c r="O16" s="6">
        <v>2800</v>
      </c>
      <c r="P16" s="6">
        <v>3500</v>
      </c>
      <c r="Q16" s="6">
        <f t="shared" si="1"/>
        <v>17500</v>
      </c>
      <c r="R16" s="6">
        <f t="shared" si="2"/>
        <v>28063</v>
      </c>
      <c r="S16" s="22">
        <f t="shared" si="3"/>
        <v>-0.37640309304065855</v>
      </c>
      <c r="T16" s="6">
        <v>266</v>
      </c>
      <c r="U16" t="s">
        <v>20</v>
      </c>
      <c r="V16">
        <v>3</v>
      </c>
      <c r="W16" s="4">
        <v>1</v>
      </c>
      <c r="X16">
        <v>1</v>
      </c>
      <c r="Y16">
        <v>2011</v>
      </c>
      <c r="AC16" s="4">
        <v>1</v>
      </c>
      <c r="AD16">
        <v>0.93</v>
      </c>
      <c r="AE16">
        <v>2011</v>
      </c>
    </row>
    <row r="17" spans="1:39" x14ac:dyDescent="0.35">
      <c r="A17">
        <v>17</v>
      </c>
      <c r="B17" t="s">
        <v>89</v>
      </c>
      <c r="C17">
        <v>1985</v>
      </c>
      <c r="D17" t="s">
        <v>89</v>
      </c>
      <c r="E17" s="1">
        <f>+DATE(2010,10,7)</f>
        <v>40458</v>
      </c>
      <c r="F17" s="13" t="s">
        <v>6</v>
      </c>
      <c r="G17">
        <v>69</v>
      </c>
      <c r="H17" s="13" t="s">
        <v>59</v>
      </c>
      <c r="I17">
        <v>269</v>
      </c>
      <c r="J17" s="4">
        <f t="shared" si="0"/>
        <v>3.8985507246376812</v>
      </c>
      <c r="M17">
        <v>20</v>
      </c>
      <c r="N17" s="6">
        <v>16000</v>
      </c>
      <c r="P17" s="6">
        <v>3900</v>
      </c>
      <c r="Q17" s="6">
        <f t="shared" si="1"/>
        <v>19900</v>
      </c>
      <c r="R17" s="6">
        <f t="shared" si="2"/>
        <v>24060.555555555555</v>
      </c>
      <c r="S17" s="22">
        <f t="shared" si="3"/>
        <v>-0.17292017825394257</v>
      </c>
      <c r="T17" s="6">
        <v>161</v>
      </c>
      <c r="U17" t="s">
        <v>223</v>
      </c>
      <c r="V17">
        <v>17</v>
      </c>
      <c r="W17" s="4">
        <v>0.9</v>
      </c>
      <c r="Y17">
        <v>1985</v>
      </c>
    </row>
    <row r="18" spans="1:39" x14ac:dyDescent="0.35">
      <c r="A18">
        <v>10</v>
      </c>
      <c r="B18" t="s">
        <v>114</v>
      </c>
      <c r="C18">
        <v>1981</v>
      </c>
      <c r="D18" t="s">
        <v>114</v>
      </c>
      <c r="E18" s="1">
        <f>+DATE(2017,7,31)</f>
        <v>42947</v>
      </c>
      <c r="F18" s="13" t="s">
        <v>58</v>
      </c>
      <c r="G18">
        <v>69</v>
      </c>
      <c r="H18" s="13" t="s">
        <v>59</v>
      </c>
      <c r="I18">
        <v>208</v>
      </c>
      <c r="J18" s="4">
        <f t="shared" si="0"/>
        <v>3.0144927536231885</v>
      </c>
      <c r="M18">
        <v>16</v>
      </c>
      <c r="N18" s="6">
        <v>16650</v>
      </c>
      <c r="O18" s="6">
        <v>1850</v>
      </c>
      <c r="P18" s="6">
        <v>2000</v>
      </c>
      <c r="Q18" s="6">
        <f t="shared" si="1"/>
        <v>20500</v>
      </c>
      <c r="R18" s="6">
        <f t="shared" si="2"/>
        <v>24440</v>
      </c>
      <c r="S18" s="22">
        <f t="shared" si="3"/>
        <v>-0.16121112929623571</v>
      </c>
      <c r="T18" s="6">
        <v>235</v>
      </c>
      <c r="U18" t="s">
        <v>20</v>
      </c>
      <c r="V18">
        <v>10</v>
      </c>
      <c r="W18" s="4">
        <v>1</v>
      </c>
      <c r="X18">
        <v>1</v>
      </c>
      <c r="Y18">
        <v>1981</v>
      </c>
      <c r="AC18" s="4">
        <v>1</v>
      </c>
      <c r="AD18">
        <v>1</v>
      </c>
      <c r="AE18">
        <v>2000</v>
      </c>
    </row>
    <row r="19" spans="1:39" x14ac:dyDescent="0.35">
      <c r="A19">
        <v>15</v>
      </c>
      <c r="B19" t="s">
        <v>69</v>
      </c>
      <c r="C19">
        <v>1985</v>
      </c>
      <c r="D19" t="s">
        <v>69</v>
      </c>
      <c r="E19" s="1">
        <f>+DATE(2019,10,10)</f>
        <v>43748</v>
      </c>
      <c r="F19" s="13" t="s">
        <v>58</v>
      </c>
      <c r="G19">
        <v>69</v>
      </c>
      <c r="H19" s="13" t="s">
        <v>59</v>
      </c>
      <c r="I19">
        <v>228</v>
      </c>
      <c r="J19" s="4">
        <f t="shared" si="0"/>
        <v>3.3043478260869565</v>
      </c>
      <c r="M19">
        <v>18</v>
      </c>
      <c r="N19" s="6">
        <v>5600</v>
      </c>
      <c r="O19" s="6">
        <v>1400</v>
      </c>
      <c r="P19" s="6">
        <v>3500</v>
      </c>
      <c r="Q19" s="6">
        <f t="shared" si="1"/>
        <v>10500</v>
      </c>
      <c r="R19" s="6">
        <f t="shared" si="2"/>
        <v>18696</v>
      </c>
      <c r="S19" s="22">
        <f t="shared" si="3"/>
        <v>-0.43838254172015401</v>
      </c>
      <c r="T19" s="6">
        <v>164</v>
      </c>
      <c r="U19" t="s">
        <v>20</v>
      </c>
      <c r="V19">
        <v>15</v>
      </c>
      <c r="W19" s="4">
        <v>1</v>
      </c>
      <c r="X19">
        <v>1</v>
      </c>
      <c r="Y19">
        <v>2006</v>
      </c>
      <c r="AC19" s="4">
        <v>1</v>
      </c>
      <c r="AD19">
        <v>0.93</v>
      </c>
      <c r="AE19">
        <v>1985</v>
      </c>
    </row>
    <row r="20" spans="1:39" x14ac:dyDescent="0.35">
      <c r="A20">
        <v>73</v>
      </c>
      <c r="C20">
        <v>1984</v>
      </c>
      <c r="D20" t="s">
        <v>132</v>
      </c>
      <c r="E20" s="1">
        <v>45609</v>
      </c>
      <c r="F20" s="13" t="s">
        <v>59</v>
      </c>
      <c r="G20">
        <v>69</v>
      </c>
      <c r="H20" s="13" t="s">
        <v>59</v>
      </c>
      <c r="I20">
        <v>198</v>
      </c>
      <c r="J20" s="4">
        <f t="shared" si="0"/>
        <v>2.8695652173913042</v>
      </c>
      <c r="K20" s="14" t="s">
        <v>13</v>
      </c>
      <c r="M20">
        <v>12</v>
      </c>
      <c r="N20" s="6">
        <f>+Q20-P20-O20</f>
        <v>5500</v>
      </c>
      <c r="O20" s="6">
        <v>700</v>
      </c>
      <c r="P20" s="6">
        <v>3500</v>
      </c>
      <c r="Q20" s="6">
        <v>9700</v>
      </c>
      <c r="R20" s="6">
        <f t="shared" si="2"/>
        <v>16038</v>
      </c>
      <c r="S20" s="22">
        <f t="shared" si="3"/>
        <v>-0.39518643222346928</v>
      </c>
      <c r="T20" s="6">
        <v>162</v>
      </c>
      <c r="U20" t="s">
        <v>20</v>
      </c>
      <c r="V20">
        <v>73</v>
      </c>
      <c r="W20" s="4">
        <v>1</v>
      </c>
      <c r="X20">
        <v>0.94</v>
      </c>
      <c r="Y20">
        <v>1984</v>
      </c>
      <c r="AF20">
        <v>100</v>
      </c>
      <c r="AG20">
        <v>2.8</v>
      </c>
      <c r="AH20">
        <v>2021</v>
      </c>
    </row>
    <row r="21" spans="1:39" x14ac:dyDescent="0.35">
      <c r="A21">
        <v>75</v>
      </c>
      <c r="C21">
        <v>1984</v>
      </c>
      <c r="D21" t="s">
        <v>132</v>
      </c>
      <c r="E21" s="1">
        <v>45609</v>
      </c>
      <c r="F21" s="13" t="s">
        <v>59</v>
      </c>
      <c r="G21">
        <v>69</v>
      </c>
      <c r="H21" s="13" t="s">
        <v>59</v>
      </c>
      <c r="I21">
        <v>222</v>
      </c>
      <c r="J21" s="4">
        <f t="shared" si="0"/>
        <v>3.2173913043478262</v>
      </c>
      <c r="K21" s="14" t="s">
        <v>13</v>
      </c>
      <c r="M21">
        <v>14</v>
      </c>
      <c r="Q21" s="6">
        <v>19230</v>
      </c>
      <c r="R21" s="6">
        <f t="shared" si="2"/>
        <v>17982</v>
      </c>
      <c r="S21" s="22">
        <f t="shared" si="3"/>
        <v>6.9402736069402726E-2</v>
      </c>
      <c r="T21" s="6">
        <v>162</v>
      </c>
      <c r="U21" t="s">
        <v>20</v>
      </c>
      <c r="V21">
        <v>75</v>
      </c>
      <c r="W21" s="4">
        <v>1</v>
      </c>
      <c r="X21">
        <v>0.94</v>
      </c>
      <c r="Y21">
        <v>1984</v>
      </c>
      <c r="AC21" s="4">
        <v>1</v>
      </c>
      <c r="AD21">
        <v>0.93</v>
      </c>
      <c r="AE21">
        <v>1984</v>
      </c>
    </row>
    <row r="22" spans="1:39" x14ac:dyDescent="0.35">
      <c r="A22">
        <v>7</v>
      </c>
      <c r="B22" t="s">
        <v>119</v>
      </c>
      <c r="C22">
        <v>1974</v>
      </c>
      <c r="D22" t="s">
        <v>119</v>
      </c>
      <c r="E22" s="1">
        <f>+DATE(2023,7,2)</f>
        <v>45109</v>
      </c>
      <c r="F22" s="13" t="s">
        <v>58</v>
      </c>
      <c r="G22">
        <v>71</v>
      </c>
      <c r="H22" s="13" t="s">
        <v>6</v>
      </c>
      <c r="I22">
        <v>130</v>
      </c>
      <c r="J22" s="4">
        <f t="shared" si="0"/>
        <v>1.8309859154929577</v>
      </c>
      <c r="K22" s="14" t="s">
        <v>13</v>
      </c>
      <c r="M22">
        <v>9</v>
      </c>
      <c r="N22" s="6">
        <v>15670</v>
      </c>
      <c r="O22" s="6">
        <v>1880</v>
      </c>
      <c r="P22" s="6">
        <v>2500</v>
      </c>
      <c r="Q22" s="6">
        <f>+SUM(N22:P22)</f>
        <v>20050</v>
      </c>
      <c r="R22" s="6">
        <f t="shared" si="2"/>
        <v>22252.941176470587</v>
      </c>
      <c r="S22" s="22">
        <f t="shared" si="3"/>
        <v>-9.8995506212001039E-2</v>
      </c>
      <c r="T22" s="6">
        <v>291</v>
      </c>
      <c r="U22" t="s">
        <v>20</v>
      </c>
      <c r="V22">
        <v>7</v>
      </c>
      <c r="W22" s="4">
        <v>0.8</v>
      </c>
      <c r="X22">
        <v>0.94</v>
      </c>
      <c r="Y22">
        <v>1974</v>
      </c>
      <c r="Z22" s="4">
        <v>0.2</v>
      </c>
      <c r="AA22">
        <v>0.69</v>
      </c>
      <c r="AB22">
        <v>1974</v>
      </c>
      <c r="AF22">
        <v>100</v>
      </c>
      <c r="AG22">
        <v>2.2400000000000002</v>
      </c>
      <c r="AH22">
        <v>1974</v>
      </c>
      <c r="AL22">
        <v>15390</v>
      </c>
      <c r="AM22">
        <v>8003</v>
      </c>
    </row>
    <row r="23" spans="1:39" x14ac:dyDescent="0.35">
      <c r="A23">
        <v>33</v>
      </c>
      <c r="B23" t="s">
        <v>88</v>
      </c>
      <c r="C23">
        <v>1988</v>
      </c>
      <c r="D23" t="s">
        <v>88</v>
      </c>
      <c r="E23" s="1">
        <f>+DATE(2023,8,14)</f>
        <v>45152</v>
      </c>
      <c r="F23" s="13" t="s">
        <v>58</v>
      </c>
      <c r="G23">
        <v>75</v>
      </c>
      <c r="H23" s="13" t="s">
        <v>58</v>
      </c>
      <c r="I23">
        <v>132</v>
      </c>
      <c r="J23" s="4">
        <f t="shared" si="0"/>
        <v>1.76</v>
      </c>
      <c r="K23" s="14" t="s">
        <v>13</v>
      </c>
      <c r="M23">
        <v>9</v>
      </c>
      <c r="N23" s="6">
        <v>15509</v>
      </c>
      <c r="O23" s="6">
        <v>1276</v>
      </c>
      <c r="P23" s="6">
        <v>3468</v>
      </c>
      <c r="Q23" s="6">
        <f>+SUM(N23:P23)</f>
        <v>20253</v>
      </c>
      <c r="R23" s="6">
        <f t="shared" si="2"/>
        <v>13530</v>
      </c>
      <c r="S23" s="22">
        <f t="shared" si="3"/>
        <v>0.49689578713968952</v>
      </c>
      <c r="T23" s="6">
        <v>205</v>
      </c>
      <c r="U23" t="s">
        <v>276</v>
      </c>
      <c r="V23">
        <v>33</v>
      </c>
      <c r="W23" s="4">
        <v>1</v>
      </c>
    </row>
    <row r="24" spans="1:39" x14ac:dyDescent="0.35">
      <c r="A24">
        <v>42</v>
      </c>
      <c r="B24" t="s">
        <v>173</v>
      </c>
      <c r="C24">
        <v>1989</v>
      </c>
      <c r="D24" t="s">
        <v>265</v>
      </c>
      <c r="E24" s="1">
        <f>+DATE(2023,9,25)</f>
        <v>45194</v>
      </c>
      <c r="F24" s="13" t="s">
        <v>58</v>
      </c>
      <c r="G24">
        <v>78</v>
      </c>
      <c r="H24" s="13" t="s">
        <v>58</v>
      </c>
      <c r="I24">
        <v>160</v>
      </c>
      <c r="J24" s="4">
        <f t="shared" si="0"/>
        <v>2.0512820512820511</v>
      </c>
      <c r="K24" s="14" t="s">
        <v>13</v>
      </c>
      <c r="M24">
        <v>10</v>
      </c>
      <c r="N24" s="6">
        <v>14400</v>
      </c>
      <c r="O24" s="6">
        <v>3600</v>
      </c>
      <c r="P24" s="6">
        <v>18000</v>
      </c>
      <c r="Q24" s="6">
        <f>+SUM(N24:P24)</f>
        <v>36000</v>
      </c>
      <c r="R24" s="6">
        <f t="shared" si="2"/>
        <v>11680</v>
      </c>
      <c r="S24" s="22">
        <f t="shared" si="3"/>
        <v>2.0821917808219177</v>
      </c>
      <c r="T24" s="6">
        <v>146</v>
      </c>
      <c r="U24" t="s">
        <v>20</v>
      </c>
      <c r="V24">
        <v>42</v>
      </c>
      <c r="W24" s="4">
        <v>1</v>
      </c>
      <c r="X24">
        <v>0.94</v>
      </c>
      <c r="Y24">
        <v>1989</v>
      </c>
      <c r="AC24" s="4">
        <v>1</v>
      </c>
      <c r="AD24">
        <v>0.93</v>
      </c>
      <c r="AE24">
        <v>2020</v>
      </c>
      <c r="AL24">
        <v>12600</v>
      </c>
      <c r="AM24">
        <v>6552</v>
      </c>
    </row>
    <row r="25" spans="1:39" x14ac:dyDescent="0.35">
      <c r="A25">
        <v>47</v>
      </c>
      <c r="B25" t="s">
        <v>185</v>
      </c>
      <c r="C25">
        <v>1991</v>
      </c>
      <c r="D25" t="s">
        <v>185</v>
      </c>
      <c r="E25" s="1">
        <f>+DATE(2023,6,30)</f>
        <v>45107</v>
      </c>
      <c r="F25" s="13" t="s">
        <v>58</v>
      </c>
      <c r="G25">
        <v>78</v>
      </c>
      <c r="H25" s="13" t="s">
        <v>59</v>
      </c>
      <c r="I25">
        <v>242</v>
      </c>
      <c r="J25" s="4">
        <f t="shared" si="0"/>
        <v>3.1025641025641026</v>
      </c>
      <c r="K25" s="14" t="s">
        <v>13</v>
      </c>
      <c r="M25">
        <v>16</v>
      </c>
      <c r="N25" s="6">
        <v>11000</v>
      </c>
      <c r="O25" s="6">
        <v>3000</v>
      </c>
      <c r="Q25" s="6">
        <f>+SUM(N25:P25)</f>
        <v>14000</v>
      </c>
      <c r="R25" s="6">
        <f t="shared" si="2"/>
        <v>22143</v>
      </c>
      <c r="S25" s="22">
        <f t="shared" si="3"/>
        <v>-0.36774601454184164</v>
      </c>
      <c r="T25" s="6">
        <v>183</v>
      </c>
      <c r="U25" t="s">
        <v>20</v>
      </c>
      <c r="V25">
        <v>47</v>
      </c>
      <c r="W25" s="4">
        <v>1</v>
      </c>
      <c r="X25">
        <v>0.94</v>
      </c>
    </row>
    <row r="26" spans="1:39" x14ac:dyDescent="0.35">
      <c r="A26">
        <v>84</v>
      </c>
      <c r="C26">
        <v>1979</v>
      </c>
      <c r="D26" t="s">
        <v>273</v>
      </c>
      <c r="E26" s="1">
        <v>45905</v>
      </c>
      <c r="F26" s="13" t="s">
        <v>58</v>
      </c>
      <c r="G26">
        <v>78</v>
      </c>
      <c r="H26" s="13" t="s">
        <v>58</v>
      </c>
      <c r="I26">
        <v>162</v>
      </c>
      <c r="J26" s="4">
        <f t="shared" si="0"/>
        <v>2.0769230769230771</v>
      </c>
      <c r="K26" s="14" t="s">
        <v>13</v>
      </c>
      <c r="L26">
        <v>10</v>
      </c>
      <c r="N26" s="6">
        <v>12390</v>
      </c>
      <c r="O26" s="6">
        <v>2000</v>
      </c>
      <c r="P26" s="6">
        <v>3430</v>
      </c>
      <c r="Q26" s="6">
        <f>+SUM(N26:P26)</f>
        <v>17820</v>
      </c>
      <c r="R26" s="6">
        <f t="shared" si="2"/>
        <v>15147</v>
      </c>
      <c r="S26" s="22">
        <f t="shared" si="3"/>
        <v>0.17647058823529416</v>
      </c>
      <c r="T26" s="6">
        <v>187</v>
      </c>
      <c r="U26" t="s">
        <v>20</v>
      </c>
      <c r="V26">
        <v>84</v>
      </c>
      <c r="W26" s="4">
        <v>1</v>
      </c>
      <c r="X26">
        <v>1</v>
      </c>
      <c r="Y26">
        <v>2015</v>
      </c>
      <c r="AC26" s="4">
        <v>1</v>
      </c>
      <c r="AD26">
        <v>0.93</v>
      </c>
      <c r="AE26">
        <v>1988</v>
      </c>
    </row>
    <row r="27" spans="1:39" x14ac:dyDescent="0.35">
      <c r="A27">
        <v>86</v>
      </c>
      <c r="C27">
        <v>1979</v>
      </c>
      <c r="D27" t="s">
        <v>274</v>
      </c>
      <c r="E27" s="1">
        <v>45905</v>
      </c>
      <c r="F27" s="13" t="s">
        <v>58</v>
      </c>
      <c r="G27">
        <v>78</v>
      </c>
      <c r="H27" s="13" t="s">
        <v>58</v>
      </c>
      <c r="I27">
        <v>162</v>
      </c>
      <c r="J27" s="4">
        <f t="shared" si="0"/>
        <v>2.0769230769230771</v>
      </c>
      <c r="K27" s="14" t="s">
        <v>13</v>
      </c>
      <c r="L27">
        <v>10</v>
      </c>
      <c r="N27" s="6">
        <v>10509</v>
      </c>
      <c r="O27" s="6">
        <v>1225</v>
      </c>
      <c r="P27" s="6">
        <v>3159</v>
      </c>
      <c r="Q27" s="6">
        <v>14893</v>
      </c>
      <c r="R27" s="6">
        <f t="shared" si="2"/>
        <v>12960</v>
      </c>
      <c r="S27" s="22">
        <f t="shared" si="3"/>
        <v>0.14915123456790114</v>
      </c>
      <c r="T27" s="6">
        <v>160</v>
      </c>
      <c r="U27" t="s">
        <v>20</v>
      </c>
      <c r="V27">
        <v>86</v>
      </c>
      <c r="W27" s="4">
        <v>1</v>
      </c>
      <c r="X27">
        <v>1</v>
      </c>
      <c r="Y27">
        <v>2000</v>
      </c>
      <c r="AF27">
        <v>100</v>
      </c>
      <c r="AG27">
        <v>2.8</v>
      </c>
      <c r="AH27">
        <v>2016</v>
      </c>
      <c r="AL27">
        <v>7876</v>
      </c>
      <c r="AM27">
        <v>2048</v>
      </c>
    </row>
    <row r="28" spans="1:39" x14ac:dyDescent="0.35">
      <c r="A28">
        <v>44</v>
      </c>
      <c r="B28" t="s">
        <v>179</v>
      </c>
      <c r="C28">
        <v>1980</v>
      </c>
      <c r="D28" t="s">
        <v>179</v>
      </c>
      <c r="E28" s="1">
        <f>+DATE(2021,12,18)</f>
        <v>44548</v>
      </c>
      <c r="F28" s="13" t="s">
        <v>58</v>
      </c>
      <c r="G28">
        <v>79</v>
      </c>
      <c r="H28" s="13" t="s">
        <v>59</v>
      </c>
      <c r="I28">
        <v>252</v>
      </c>
      <c r="J28" s="4">
        <f t="shared" si="0"/>
        <v>3.1898734177215191</v>
      </c>
      <c r="L28">
        <v>19</v>
      </c>
      <c r="N28" s="6">
        <v>19520</v>
      </c>
      <c r="O28" s="6">
        <v>4880</v>
      </c>
      <c r="P28" s="6">
        <v>6800</v>
      </c>
      <c r="Q28" s="6">
        <f>+SUM(N28:P28)</f>
        <v>31200</v>
      </c>
      <c r="R28" s="6">
        <f t="shared" si="2"/>
        <v>40446</v>
      </c>
      <c r="S28" s="22">
        <f t="shared" si="3"/>
        <v>-0.22860109775997628</v>
      </c>
      <c r="T28" s="6">
        <v>321</v>
      </c>
      <c r="U28" t="s">
        <v>20</v>
      </c>
      <c r="V28">
        <v>44</v>
      </c>
      <c r="W28" s="4">
        <v>1</v>
      </c>
      <c r="X28">
        <v>0.94</v>
      </c>
      <c r="Y28">
        <v>1980</v>
      </c>
      <c r="AC28" s="4">
        <v>1</v>
      </c>
      <c r="AD28">
        <v>0.93</v>
      </c>
      <c r="AE28">
        <v>1980</v>
      </c>
    </row>
    <row r="29" spans="1:39" x14ac:dyDescent="0.35">
      <c r="A29">
        <v>4</v>
      </c>
      <c r="B29" t="s">
        <v>128</v>
      </c>
      <c r="C29">
        <v>1986</v>
      </c>
      <c r="D29" t="s">
        <v>128</v>
      </c>
      <c r="E29" s="1">
        <f>+DATE(2018,9,11)</f>
        <v>43354</v>
      </c>
      <c r="F29" s="13" t="s">
        <v>6</v>
      </c>
      <c r="G29">
        <v>81</v>
      </c>
      <c r="H29" s="13" t="s">
        <v>58</v>
      </c>
      <c r="I29">
        <v>234</v>
      </c>
      <c r="J29" s="4">
        <f t="shared" si="0"/>
        <v>2.8888888888888888</v>
      </c>
      <c r="M29">
        <v>17</v>
      </c>
      <c r="N29" s="10"/>
      <c r="R29" s="6">
        <f t="shared" si="2"/>
        <v>17409.599999999999</v>
      </c>
      <c r="S29" s="22"/>
      <c r="T29" s="6">
        <v>186</v>
      </c>
      <c r="U29" t="s">
        <v>20</v>
      </c>
      <c r="V29">
        <v>4</v>
      </c>
      <c r="W29" s="4">
        <v>1</v>
      </c>
      <c r="X29">
        <v>1</v>
      </c>
      <c r="Y29">
        <v>2010</v>
      </c>
      <c r="Z29" s="4">
        <v>1</v>
      </c>
      <c r="AA29">
        <v>0.69</v>
      </c>
      <c r="AB29">
        <v>1986</v>
      </c>
      <c r="AC29" s="4">
        <v>1</v>
      </c>
      <c r="AD29">
        <v>0.93</v>
      </c>
      <c r="AE29">
        <v>2015</v>
      </c>
    </row>
    <row r="30" spans="1:39" x14ac:dyDescent="0.35">
      <c r="A30">
        <v>66</v>
      </c>
      <c r="B30" t="s">
        <v>235</v>
      </c>
      <c r="C30">
        <v>1994</v>
      </c>
      <c r="D30" t="s">
        <v>234</v>
      </c>
      <c r="E30" s="1">
        <v>45733</v>
      </c>
      <c r="F30" s="13" t="s">
        <v>58</v>
      </c>
      <c r="G30">
        <v>81</v>
      </c>
      <c r="H30" s="13" t="s">
        <v>58</v>
      </c>
      <c r="I30">
        <v>166</v>
      </c>
      <c r="J30" s="4">
        <f t="shared" si="0"/>
        <v>2.0493827160493829</v>
      </c>
      <c r="K30" s="14" t="s">
        <v>13</v>
      </c>
      <c r="M30">
        <v>9</v>
      </c>
      <c r="N30" s="6">
        <v>9530</v>
      </c>
      <c r="P30" s="6">
        <v>5780</v>
      </c>
      <c r="Q30" s="6">
        <f>+SUM(N30:P30)</f>
        <v>15310</v>
      </c>
      <c r="R30" s="6">
        <f t="shared" si="2"/>
        <v>15711.549295774648</v>
      </c>
      <c r="S30" s="22">
        <f t="shared" ref="S30:S58" si="4">+Q30/R30-1</f>
        <v>-2.5557587492828437E-2</v>
      </c>
      <c r="T30" s="6">
        <v>168</v>
      </c>
      <c r="U30" t="s">
        <v>223</v>
      </c>
      <c r="V30">
        <v>66</v>
      </c>
      <c r="W30" s="4">
        <v>0.85</v>
      </c>
      <c r="X30">
        <v>1</v>
      </c>
      <c r="Y30">
        <v>2023</v>
      </c>
      <c r="Z30" s="4">
        <v>0.15</v>
      </c>
      <c r="AA30">
        <v>0.66</v>
      </c>
      <c r="AB30">
        <v>1994</v>
      </c>
      <c r="AF30">
        <v>100</v>
      </c>
      <c r="AG30">
        <v>3.9</v>
      </c>
      <c r="AH30">
        <v>2024</v>
      </c>
      <c r="AL30">
        <v>3346</v>
      </c>
      <c r="AM30">
        <v>3346</v>
      </c>
    </row>
    <row r="31" spans="1:39" x14ac:dyDescent="0.35">
      <c r="A31">
        <v>70</v>
      </c>
      <c r="C31">
        <v>1984</v>
      </c>
      <c r="D31" t="s">
        <v>132</v>
      </c>
      <c r="E31" s="1">
        <v>45897</v>
      </c>
      <c r="F31" s="13" t="s">
        <v>6</v>
      </c>
      <c r="G31">
        <v>82</v>
      </c>
      <c r="H31" s="13" t="s">
        <v>59</v>
      </c>
      <c r="I31">
        <v>235</v>
      </c>
      <c r="J31" s="4">
        <f t="shared" si="0"/>
        <v>2.8658536585365852</v>
      </c>
      <c r="K31" s="14" t="s">
        <v>13</v>
      </c>
      <c r="M31">
        <v>15</v>
      </c>
      <c r="N31" s="6">
        <v>17621</v>
      </c>
      <c r="O31" s="6">
        <v>4709</v>
      </c>
      <c r="P31" s="6">
        <v>3532</v>
      </c>
      <c r="Q31" s="6">
        <f>+SUM(N31:P31)</f>
        <v>25862</v>
      </c>
      <c r="R31" s="6">
        <f t="shared" si="2"/>
        <v>26402.941176470584</v>
      </c>
      <c r="S31" s="22">
        <f t="shared" si="4"/>
        <v>-2.048791355686741E-2</v>
      </c>
      <c r="T31" s="6">
        <v>191</v>
      </c>
      <c r="U31" t="s">
        <v>20</v>
      </c>
      <c r="V31">
        <v>70</v>
      </c>
      <c r="W31" s="4">
        <v>0.8</v>
      </c>
      <c r="X31">
        <v>0.94</v>
      </c>
      <c r="Y31">
        <v>1984</v>
      </c>
      <c r="Z31" s="4">
        <v>0.2</v>
      </c>
      <c r="AA31">
        <v>0.64</v>
      </c>
      <c r="AB31">
        <v>1984</v>
      </c>
      <c r="AC31" s="4">
        <v>1</v>
      </c>
      <c r="AD31">
        <v>0.93</v>
      </c>
      <c r="AE31">
        <v>1984</v>
      </c>
    </row>
    <row r="32" spans="1:39" x14ac:dyDescent="0.35">
      <c r="A32">
        <v>19</v>
      </c>
      <c r="B32" t="s">
        <v>11</v>
      </c>
      <c r="C32">
        <v>1977</v>
      </c>
      <c r="D32" t="s">
        <v>11</v>
      </c>
      <c r="E32" s="1">
        <v>45451</v>
      </c>
      <c r="F32" s="13" t="s">
        <v>6</v>
      </c>
      <c r="G32">
        <v>83</v>
      </c>
      <c r="H32" s="13" t="s">
        <v>6</v>
      </c>
      <c r="I32">
        <v>151</v>
      </c>
      <c r="J32" s="4">
        <f t="shared" si="0"/>
        <v>1.8192771084337349</v>
      </c>
      <c r="K32" s="14" t="s">
        <v>13</v>
      </c>
      <c r="M32">
        <v>9</v>
      </c>
      <c r="Q32" s="6">
        <f>+SUM(N32:P32)</f>
        <v>0</v>
      </c>
      <c r="R32" s="6">
        <f t="shared" si="2"/>
        <v>21059.347181008903</v>
      </c>
      <c r="S32" s="22">
        <f t="shared" si="4"/>
        <v>-1</v>
      </c>
      <c r="T32" s="6">
        <v>235</v>
      </c>
      <c r="U32" t="s">
        <v>20</v>
      </c>
      <c r="V32">
        <v>19</v>
      </c>
      <c r="W32" s="4">
        <v>0.79</v>
      </c>
      <c r="X32">
        <v>0.94</v>
      </c>
      <c r="Y32">
        <v>1977</v>
      </c>
      <c r="Z32" s="4">
        <v>0.21</v>
      </c>
      <c r="AA32">
        <v>0.79</v>
      </c>
      <c r="AB32">
        <v>1977</v>
      </c>
      <c r="AF32" s="4">
        <v>0.3</v>
      </c>
      <c r="AG32">
        <v>2.2999999999999998</v>
      </c>
      <c r="AH32">
        <v>2021</v>
      </c>
      <c r="AI32" s="4">
        <v>0.7</v>
      </c>
      <c r="AJ32">
        <v>1</v>
      </c>
      <c r="AK32">
        <v>2005</v>
      </c>
      <c r="AL32" s="24">
        <v>9000</v>
      </c>
      <c r="AM32" s="24">
        <v>4680</v>
      </c>
    </row>
    <row r="33" spans="1:39" x14ac:dyDescent="0.35">
      <c r="A33">
        <v>16</v>
      </c>
      <c r="B33" t="s">
        <v>96</v>
      </c>
      <c r="C33">
        <v>1978</v>
      </c>
      <c r="D33" t="s">
        <v>96</v>
      </c>
      <c r="E33" s="1">
        <f>+DATE(2017,6,30)</f>
        <v>42916</v>
      </c>
      <c r="F33" s="13" t="s">
        <v>58</v>
      </c>
      <c r="G33">
        <v>84</v>
      </c>
      <c r="H33" s="13" t="s">
        <v>59</v>
      </c>
      <c r="I33">
        <v>242</v>
      </c>
      <c r="J33" s="4">
        <f t="shared" si="0"/>
        <v>2.8809523809523809</v>
      </c>
      <c r="M33">
        <v>17</v>
      </c>
      <c r="N33" s="10">
        <v>15327</v>
      </c>
      <c r="O33" s="10"/>
      <c r="P33" s="6">
        <v>4033</v>
      </c>
      <c r="Q33" s="6">
        <f>+SUM(N33:P33)</f>
        <v>19360</v>
      </c>
      <c r="R33" s="6">
        <f t="shared" si="2"/>
        <v>22869</v>
      </c>
      <c r="S33" s="22">
        <f t="shared" si="4"/>
        <v>-0.15343915343915349</v>
      </c>
      <c r="T33" s="6">
        <v>189</v>
      </c>
      <c r="V33">
        <v>16</v>
      </c>
      <c r="W33" s="4">
        <v>1</v>
      </c>
      <c r="X33">
        <v>0.94</v>
      </c>
    </row>
    <row r="34" spans="1:39" x14ac:dyDescent="0.35">
      <c r="A34">
        <v>72</v>
      </c>
      <c r="C34">
        <v>1984</v>
      </c>
      <c r="D34" t="s">
        <v>132</v>
      </c>
      <c r="E34" s="1">
        <v>45609</v>
      </c>
      <c r="F34" s="13" t="s">
        <v>59</v>
      </c>
      <c r="G34">
        <v>84</v>
      </c>
      <c r="H34" s="13" t="s">
        <v>81</v>
      </c>
      <c r="I34">
        <v>253</v>
      </c>
      <c r="J34" s="4">
        <f t="shared" si="0"/>
        <v>3.0119047619047619</v>
      </c>
      <c r="K34" s="14" t="s">
        <v>13</v>
      </c>
      <c r="M34">
        <v>16</v>
      </c>
      <c r="N34" s="6">
        <f>+Q34-P34-O34</f>
        <v>6630</v>
      </c>
      <c r="O34" s="6">
        <v>3000</v>
      </c>
      <c r="P34" s="6">
        <v>3500</v>
      </c>
      <c r="Q34" s="6">
        <v>13130</v>
      </c>
      <c r="R34" s="6">
        <f t="shared" si="2"/>
        <v>20493</v>
      </c>
      <c r="S34" s="22">
        <f t="shared" si="4"/>
        <v>-0.35929341726443176</v>
      </c>
      <c r="T34" s="6">
        <v>162</v>
      </c>
      <c r="U34" t="s">
        <v>20</v>
      </c>
      <c r="V34">
        <v>72</v>
      </c>
      <c r="W34" s="4">
        <v>1</v>
      </c>
      <c r="X34">
        <v>0.94</v>
      </c>
      <c r="Y34">
        <v>1984</v>
      </c>
      <c r="AC34" s="4">
        <v>1</v>
      </c>
      <c r="AD34">
        <v>0.93</v>
      </c>
      <c r="AE34">
        <v>1984</v>
      </c>
    </row>
    <row r="35" spans="1:39" x14ac:dyDescent="0.35">
      <c r="A35">
        <v>74</v>
      </c>
      <c r="C35">
        <v>1984</v>
      </c>
      <c r="D35" t="s">
        <v>132</v>
      </c>
      <c r="E35" s="1">
        <v>45609</v>
      </c>
      <c r="F35" s="13" t="s">
        <v>59</v>
      </c>
      <c r="G35">
        <v>84</v>
      </c>
      <c r="H35" s="13" t="s">
        <v>59</v>
      </c>
      <c r="I35">
        <v>234</v>
      </c>
      <c r="J35" s="4">
        <f t="shared" ref="J35:J58" si="5">+I35/G35</f>
        <v>2.7857142857142856</v>
      </c>
      <c r="K35" s="14" t="s">
        <v>13</v>
      </c>
      <c r="M35">
        <v>15</v>
      </c>
      <c r="Q35" s="6">
        <v>11700</v>
      </c>
      <c r="R35" s="6">
        <f t="shared" ref="R35:R58" si="6">+T35*I35/((2*W35)+(0.5*Z35))</f>
        <v>18954</v>
      </c>
      <c r="S35" s="22">
        <f t="shared" si="4"/>
        <v>-0.38271604938271608</v>
      </c>
      <c r="T35" s="6">
        <v>162</v>
      </c>
      <c r="U35" t="s">
        <v>20</v>
      </c>
      <c r="V35">
        <v>74</v>
      </c>
      <c r="W35" s="4">
        <v>1</v>
      </c>
      <c r="X35">
        <v>0.94</v>
      </c>
      <c r="Y35">
        <v>1984</v>
      </c>
      <c r="AC35" s="4">
        <v>1</v>
      </c>
      <c r="AD35">
        <v>0.93</v>
      </c>
      <c r="AE35">
        <v>1984</v>
      </c>
    </row>
    <row r="36" spans="1:39" x14ac:dyDescent="0.35">
      <c r="A36">
        <v>61</v>
      </c>
      <c r="B36" t="s">
        <v>222</v>
      </c>
      <c r="C36">
        <v>1988</v>
      </c>
      <c r="D36" t="s">
        <v>222</v>
      </c>
      <c r="E36" s="1">
        <v>45546</v>
      </c>
      <c r="F36" s="13" t="s">
        <v>58</v>
      </c>
      <c r="G36">
        <v>85</v>
      </c>
      <c r="H36" s="13" t="s">
        <v>58</v>
      </c>
      <c r="I36">
        <v>172</v>
      </c>
      <c r="J36" s="4">
        <f t="shared" si="5"/>
        <v>2.0235294117647058</v>
      </c>
      <c r="K36" s="14" t="s">
        <v>13</v>
      </c>
      <c r="M36">
        <v>11</v>
      </c>
      <c r="N36" s="6">
        <v>9580</v>
      </c>
      <c r="O36" s="6">
        <v>1140</v>
      </c>
      <c r="P36" s="6">
        <v>1860</v>
      </c>
      <c r="Q36" s="6">
        <f t="shared" ref="Q36:Q45" si="7">+SUM(N36:P36)</f>
        <v>12580</v>
      </c>
      <c r="R36" s="6">
        <f t="shared" si="6"/>
        <v>20664.310954063603</v>
      </c>
      <c r="S36" s="22">
        <f t="shared" si="4"/>
        <v>-0.39122093023255811</v>
      </c>
      <c r="T36" s="6">
        <v>170</v>
      </c>
      <c r="U36" t="s">
        <v>223</v>
      </c>
      <c r="V36">
        <v>61</v>
      </c>
      <c r="W36" s="4">
        <v>0.61</v>
      </c>
      <c r="X36">
        <v>0.94</v>
      </c>
      <c r="Y36">
        <v>1988</v>
      </c>
      <c r="Z36" s="4">
        <v>0.39</v>
      </c>
      <c r="AA36">
        <v>0.7</v>
      </c>
      <c r="AB36">
        <v>2007</v>
      </c>
      <c r="AC36" s="4">
        <v>1</v>
      </c>
      <c r="AD36">
        <v>0.93</v>
      </c>
      <c r="AE36">
        <v>1988</v>
      </c>
      <c r="AL36">
        <v>5239</v>
      </c>
      <c r="AM36">
        <v>3007</v>
      </c>
    </row>
    <row r="37" spans="1:39" x14ac:dyDescent="0.35">
      <c r="A37">
        <v>65</v>
      </c>
      <c r="B37" t="s">
        <v>234</v>
      </c>
      <c r="C37">
        <v>1994</v>
      </c>
      <c r="D37" t="s">
        <v>234</v>
      </c>
      <c r="E37" s="1">
        <v>43805</v>
      </c>
      <c r="F37" s="13" t="s">
        <v>58</v>
      </c>
      <c r="G37">
        <v>87</v>
      </c>
      <c r="H37" s="13" t="s">
        <v>59</v>
      </c>
      <c r="I37">
        <v>285</v>
      </c>
      <c r="J37" s="4">
        <f t="shared" si="5"/>
        <v>3.2758620689655173</v>
      </c>
      <c r="L37">
        <v>22</v>
      </c>
      <c r="N37" s="6">
        <v>12480</v>
      </c>
      <c r="O37" s="6">
        <v>4160</v>
      </c>
      <c r="P37" s="6">
        <v>3900</v>
      </c>
      <c r="Q37" s="6">
        <f t="shared" si="7"/>
        <v>20540</v>
      </c>
      <c r="R37" s="6">
        <f t="shared" si="6"/>
        <v>27930</v>
      </c>
      <c r="S37" s="22">
        <f t="shared" si="4"/>
        <v>-0.26459004654493379</v>
      </c>
      <c r="T37" s="6">
        <v>196</v>
      </c>
      <c r="U37" t="s">
        <v>223</v>
      </c>
      <c r="V37">
        <v>65</v>
      </c>
      <c r="W37" s="4">
        <v>1</v>
      </c>
      <c r="X37">
        <v>0.96</v>
      </c>
      <c r="Y37">
        <v>1993</v>
      </c>
      <c r="AC37" s="4">
        <v>1</v>
      </c>
      <c r="AD37">
        <v>0.93</v>
      </c>
      <c r="AE37">
        <v>1993</v>
      </c>
    </row>
    <row r="38" spans="1:39" x14ac:dyDescent="0.35">
      <c r="A38">
        <v>69</v>
      </c>
      <c r="C38">
        <v>1982</v>
      </c>
      <c r="D38" t="s">
        <v>269</v>
      </c>
      <c r="E38" s="1">
        <v>45587</v>
      </c>
      <c r="F38" s="13" t="s">
        <v>58</v>
      </c>
      <c r="G38">
        <v>87</v>
      </c>
      <c r="H38" s="13" t="s">
        <v>59</v>
      </c>
      <c r="I38">
        <v>263</v>
      </c>
      <c r="J38" s="4">
        <f t="shared" si="5"/>
        <v>3.0229885057471266</v>
      </c>
      <c r="L38">
        <v>20</v>
      </c>
      <c r="N38" s="6">
        <v>13450</v>
      </c>
      <c r="O38" s="6">
        <v>3150</v>
      </c>
      <c r="P38" s="6">
        <v>3000</v>
      </c>
      <c r="Q38" s="6">
        <f t="shared" si="7"/>
        <v>19600</v>
      </c>
      <c r="R38" s="6">
        <f t="shared" si="6"/>
        <v>26168.5</v>
      </c>
      <c r="S38" s="22">
        <f t="shared" si="4"/>
        <v>-0.25100789116686095</v>
      </c>
      <c r="T38" s="6">
        <v>199</v>
      </c>
      <c r="U38" t="s">
        <v>20</v>
      </c>
      <c r="V38">
        <v>69</v>
      </c>
      <c r="W38" s="4">
        <v>1</v>
      </c>
      <c r="X38">
        <v>0.93</v>
      </c>
      <c r="Y38">
        <v>1982</v>
      </c>
      <c r="AC38" s="4">
        <v>1</v>
      </c>
      <c r="AD38">
        <v>0.93</v>
      </c>
      <c r="AE38">
        <v>2009</v>
      </c>
    </row>
    <row r="39" spans="1:39" x14ac:dyDescent="0.35">
      <c r="A39">
        <v>30</v>
      </c>
      <c r="B39" t="s">
        <v>160</v>
      </c>
      <c r="C39">
        <v>1982</v>
      </c>
      <c r="D39" t="s">
        <v>263</v>
      </c>
      <c r="E39" s="1">
        <f>+DATE(2022,7,4)</f>
        <v>44746</v>
      </c>
      <c r="F39" s="13" t="s">
        <v>59</v>
      </c>
      <c r="G39">
        <v>87</v>
      </c>
      <c r="H39" s="13" t="s">
        <v>59</v>
      </c>
      <c r="I39">
        <v>238</v>
      </c>
      <c r="J39" s="4">
        <f t="shared" si="5"/>
        <v>2.735632183908046</v>
      </c>
      <c r="M39">
        <v>18</v>
      </c>
      <c r="N39" s="6">
        <v>13950</v>
      </c>
      <c r="O39" s="6">
        <v>1050</v>
      </c>
      <c r="P39" s="6">
        <v>4000</v>
      </c>
      <c r="Q39" s="6">
        <f t="shared" si="7"/>
        <v>19000</v>
      </c>
      <c r="R39" s="6">
        <f t="shared" si="6"/>
        <v>24752</v>
      </c>
      <c r="S39" s="22">
        <f t="shared" si="4"/>
        <v>-0.23238526179702645</v>
      </c>
      <c r="T39" s="6">
        <v>208</v>
      </c>
      <c r="U39" t="s">
        <v>20</v>
      </c>
      <c r="V39">
        <v>30</v>
      </c>
      <c r="W39" s="4">
        <v>1</v>
      </c>
      <c r="X39">
        <v>0.94</v>
      </c>
      <c r="Y39">
        <v>1982</v>
      </c>
      <c r="AF39" s="4">
        <v>1</v>
      </c>
      <c r="AG39">
        <v>2.8</v>
      </c>
      <c r="AH39">
        <v>2017</v>
      </c>
    </row>
    <row r="40" spans="1:39" x14ac:dyDescent="0.35">
      <c r="A40">
        <v>37</v>
      </c>
      <c r="B40" t="s">
        <v>166</v>
      </c>
      <c r="C40">
        <v>1982</v>
      </c>
      <c r="D40" t="s">
        <v>264</v>
      </c>
      <c r="E40" s="1">
        <f>+DATE(2023,9,14)</f>
        <v>45183</v>
      </c>
      <c r="F40" s="13" t="s">
        <v>59</v>
      </c>
      <c r="G40">
        <v>87</v>
      </c>
      <c r="H40" s="13" t="s">
        <v>58</v>
      </c>
      <c r="I40">
        <v>168</v>
      </c>
      <c r="J40" s="4">
        <f t="shared" si="5"/>
        <v>1.9310344827586208</v>
      </c>
      <c r="K40" s="14" t="s">
        <v>13</v>
      </c>
      <c r="M40">
        <v>11</v>
      </c>
      <c r="N40" s="6">
        <v>15030</v>
      </c>
      <c r="O40" s="6">
        <v>1000</v>
      </c>
      <c r="P40" s="6">
        <v>1700</v>
      </c>
      <c r="Q40" s="6">
        <f t="shared" si="7"/>
        <v>17730</v>
      </c>
      <c r="R40" s="6">
        <f t="shared" si="6"/>
        <v>18676.36363636364</v>
      </c>
      <c r="S40" s="22">
        <f t="shared" si="4"/>
        <v>-5.0671728971962815E-2</v>
      </c>
      <c r="T40" s="6">
        <v>214</v>
      </c>
      <c r="U40" t="s">
        <v>20</v>
      </c>
      <c r="V40">
        <v>37</v>
      </c>
      <c r="W40" s="4">
        <v>0.95</v>
      </c>
      <c r="X40">
        <v>0.94</v>
      </c>
      <c r="Y40">
        <v>1982</v>
      </c>
      <c r="Z40" s="4">
        <v>0.05</v>
      </c>
      <c r="AA40">
        <v>0.69</v>
      </c>
      <c r="AB40">
        <v>1982</v>
      </c>
      <c r="AF40">
        <v>100</v>
      </c>
      <c r="AG40">
        <v>3.6</v>
      </c>
      <c r="AH40">
        <v>2019</v>
      </c>
      <c r="AL40">
        <v>7300</v>
      </c>
      <c r="AM40">
        <v>6862</v>
      </c>
    </row>
    <row r="41" spans="1:39" x14ac:dyDescent="0.35">
      <c r="A41">
        <v>48</v>
      </c>
      <c r="B41" t="s">
        <v>186</v>
      </c>
      <c r="C41">
        <v>1990</v>
      </c>
      <c r="D41" t="s">
        <v>186</v>
      </c>
      <c r="E41" s="1">
        <f>+DATE(2023,10,20)</f>
        <v>45219</v>
      </c>
      <c r="F41" s="13" t="s">
        <v>58</v>
      </c>
      <c r="G41">
        <v>92</v>
      </c>
      <c r="H41" s="13" t="s">
        <v>81</v>
      </c>
      <c r="I41">
        <v>274</v>
      </c>
      <c r="J41" s="4">
        <f t="shared" si="5"/>
        <v>2.9782608695652173</v>
      </c>
      <c r="K41" s="14" t="s">
        <v>13</v>
      </c>
      <c r="M41">
        <v>17</v>
      </c>
      <c r="Q41" s="6">
        <f t="shared" si="7"/>
        <v>0</v>
      </c>
      <c r="R41" s="6">
        <f t="shared" si="6"/>
        <v>22742</v>
      </c>
      <c r="S41" s="22">
        <f t="shared" si="4"/>
        <v>-1</v>
      </c>
      <c r="T41" s="6">
        <v>166</v>
      </c>
      <c r="U41" t="s">
        <v>112</v>
      </c>
      <c r="V41">
        <v>48</v>
      </c>
      <c r="W41" s="4">
        <v>1</v>
      </c>
      <c r="X41">
        <v>0.94</v>
      </c>
      <c r="Y41">
        <v>1990</v>
      </c>
      <c r="AC41" s="4">
        <v>1</v>
      </c>
      <c r="AD41">
        <v>0.93</v>
      </c>
      <c r="AE41">
        <v>1990</v>
      </c>
    </row>
    <row r="42" spans="1:39" x14ac:dyDescent="0.35">
      <c r="A42">
        <v>53</v>
      </c>
      <c r="B42" t="s">
        <v>89</v>
      </c>
      <c r="C42">
        <v>1990</v>
      </c>
      <c r="D42" t="s">
        <v>89</v>
      </c>
      <c r="E42" s="1">
        <f>+DATE(2022,6,20)</f>
        <v>44732</v>
      </c>
      <c r="F42" s="13" t="s">
        <v>58</v>
      </c>
      <c r="G42">
        <v>93</v>
      </c>
      <c r="H42" s="13" t="s">
        <v>81</v>
      </c>
      <c r="I42">
        <v>296</v>
      </c>
      <c r="J42" s="4">
        <f t="shared" si="5"/>
        <v>3.182795698924731</v>
      </c>
      <c r="L42">
        <v>23</v>
      </c>
      <c r="Q42" s="6">
        <f t="shared" si="7"/>
        <v>0</v>
      </c>
      <c r="R42" s="6">
        <f t="shared" si="6"/>
        <v>21756</v>
      </c>
      <c r="S42" s="22">
        <f t="shared" si="4"/>
        <v>-1</v>
      </c>
      <c r="T42" s="6">
        <v>147</v>
      </c>
      <c r="U42" t="s">
        <v>20</v>
      </c>
      <c r="V42">
        <v>53</v>
      </c>
      <c r="W42" s="4">
        <v>1</v>
      </c>
      <c r="X42">
        <v>0.94</v>
      </c>
      <c r="Y42">
        <v>1990</v>
      </c>
      <c r="AC42" s="4">
        <v>1</v>
      </c>
      <c r="AD42">
        <v>0.93</v>
      </c>
      <c r="AE42">
        <v>1988</v>
      </c>
    </row>
    <row r="43" spans="1:39" x14ac:dyDescent="0.35">
      <c r="A43">
        <v>68</v>
      </c>
      <c r="C43">
        <v>1978</v>
      </c>
      <c r="D43" t="s">
        <v>268</v>
      </c>
      <c r="E43" s="1">
        <v>45558</v>
      </c>
      <c r="F43" s="13" t="s">
        <v>58</v>
      </c>
      <c r="G43">
        <v>93</v>
      </c>
      <c r="H43" s="13" t="s">
        <v>59</v>
      </c>
      <c r="I43">
        <v>264</v>
      </c>
      <c r="J43" s="4">
        <f t="shared" si="5"/>
        <v>2.838709677419355</v>
      </c>
      <c r="K43" s="14" t="s">
        <v>13</v>
      </c>
      <c r="M43">
        <v>17</v>
      </c>
      <c r="N43" s="6">
        <v>16000</v>
      </c>
      <c r="O43" s="6">
        <v>4000</v>
      </c>
      <c r="P43" s="6">
        <v>3000</v>
      </c>
      <c r="Q43" s="6">
        <f t="shared" si="7"/>
        <v>23000</v>
      </c>
      <c r="R43" s="6">
        <f t="shared" si="6"/>
        <v>27060</v>
      </c>
      <c r="S43" s="22">
        <f t="shared" si="4"/>
        <v>-0.15003695491500368</v>
      </c>
      <c r="T43" s="6">
        <v>205</v>
      </c>
      <c r="U43" t="s">
        <v>20</v>
      </c>
      <c r="V43">
        <v>68</v>
      </c>
      <c r="W43" s="4">
        <v>1</v>
      </c>
      <c r="X43">
        <v>0.94</v>
      </c>
      <c r="Y43">
        <v>1978</v>
      </c>
      <c r="AC43" s="4">
        <v>1</v>
      </c>
      <c r="AD43">
        <v>0.93</v>
      </c>
      <c r="AE43">
        <v>2008</v>
      </c>
    </row>
    <row r="44" spans="1:39" x14ac:dyDescent="0.35">
      <c r="A44">
        <v>12</v>
      </c>
      <c r="B44" t="s">
        <v>109</v>
      </c>
      <c r="C44">
        <v>1985</v>
      </c>
      <c r="D44" t="s">
        <v>109</v>
      </c>
      <c r="E44" s="1">
        <f>+DATE(2023,2,14)</f>
        <v>44971</v>
      </c>
      <c r="F44" s="13" t="s">
        <v>58</v>
      </c>
      <c r="G44">
        <v>94</v>
      </c>
      <c r="H44" s="13" t="s">
        <v>6</v>
      </c>
      <c r="I44">
        <v>159</v>
      </c>
      <c r="J44" s="4">
        <f t="shared" si="5"/>
        <v>1.6914893617021276</v>
      </c>
      <c r="K44" s="14" t="s">
        <v>13</v>
      </c>
      <c r="M44">
        <v>10</v>
      </c>
      <c r="N44" s="6">
        <v>15900</v>
      </c>
      <c r="O44" s="6">
        <v>800</v>
      </c>
      <c r="P44" s="6">
        <v>1080</v>
      </c>
      <c r="Q44" s="6">
        <f t="shared" si="7"/>
        <v>17780</v>
      </c>
      <c r="R44" s="6">
        <f t="shared" si="6"/>
        <v>15432.352941176468</v>
      </c>
      <c r="S44" s="22">
        <f t="shared" si="4"/>
        <v>0.15212502382313708</v>
      </c>
      <c r="T44" s="6">
        <v>165</v>
      </c>
      <c r="U44" t="s">
        <v>20</v>
      </c>
      <c r="V44">
        <v>12</v>
      </c>
      <c r="W44" s="4">
        <v>0.8</v>
      </c>
      <c r="X44">
        <v>0.99</v>
      </c>
      <c r="Y44">
        <v>1985</v>
      </c>
      <c r="Z44" s="4">
        <v>0.2</v>
      </c>
      <c r="AA44">
        <v>0.7</v>
      </c>
      <c r="AB44">
        <v>2004</v>
      </c>
      <c r="AF44" s="4">
        <v>1</v>
      </c>
      <c r="AG44">
        <v>3.9</v>
      </c>
      <c r="AH44">
        <v>2018</v>
      </c>
      <c r="AL44">
        <v>12000</v>
      </c>
      <c r="AM44">
        <v>6240</v>
      </c>
    </row>
    <row r="45" spans="1:39" x14ac:dyDescent="0.35">
      <c r="A45">
        <v>85</v>
      </c>
      <c r="C45">
        <v>1982</v>
      </c>
      <c r="D45" t="s">
        <v>179</v>
      </c>
      <c r="E45" s="1">
        <v>45336</v>
      </c>
      <c r="F45" s="13" t="s">
        <v>58</v>
      </c>
      <c r="G45">
        <v>96</v>
      </c>
      <c r="H45" s="13" t="s">
        <v>58</v>
      </c>
      <c r="I45">
        <v>212</v>
      </c>
      <c r="J45" s="4">
        <f t="shared" si="5"/>
        <v>2.2083333333333335</v>
      </c>
      <c r="K45" s="14" t="s">
        <v>13</v>
      </c>
      <c r="L45">
        <v>12</v>
      </c>
      <c r="N45" s="6">
        <v>9840</v>
      </c>
      <c r="O45" s="6">
        <v>3100</v>
      </c>
      <c r="P45" s="6">
        <v>6800</v>
      </c>
      <c r="Q45" s="6">
        <f t="shared" si="7"/>
        <v>19740</v>
      </c>
      <c r="R45" s="6">
        <f t="shared" si="6"/>
        <v>19939.45945945946</v>
      </c>
      <c r="S45" s="22">
        <f t="shared" si="4"/>
        <v>-1.0003253090435926E-2</v>
      </c>
      <c r="T45" s="6">
        <v>174</v>
      </c>
      <c r="U45" t="s">
        <v>20</v>
      </c>
      <c r="V45">
        <v>85</v>
      </c>
      <c r="W45" s="4">
        <v>0.9</v>
      </c>
      <c r="X45">
        <v>1</v>
      </c>
      <c r="Y45">
        <v>1982</v>
      </c>
      <c r="Z45" s="4">
        <v>0.1</v>
      </c>
      <c r="AA45">
        <v>0.8</v>
      </c>
      <c r="AB45">
        <v>2015</v>
      </c>
      <c r="AC45" s="4">
        <v>1</v>
      </c>
      <c r="AD45">
        <v>0.93</v>
      </c>
      <c r="AE45">
        <v>2015</v>
      </c>
      <c r="AL45">
        <v>12000</v>
      </c>
      <c r="AM45">
        <v>6240</v>
      </c>
    </row>
    <row r="46" spans="1:39" x14ac:dyDescent="0.35">
      <c r="A46">
        <v>78</v>
      </c>
      <c r="C46">
        <v>1991</v>
      </c>
      <c r="D46" t="s">
        <v>271</v>
      </c>
      <c r="E46" s="1">
        <v>44642</v>
      </c>
      <c r="F46" s="13" t="s">
        <v>58</v>
      </c>
      <c r="G46">
        <v>98</v>
      </c>
      <c r="H46" s="13" t="s">
        <v>81</v>
      </c>
      <c r="I46">
        <v>296</v>
      </c>
      <c r="J46" s="4">
        <f t="shared" si="5"/>
        <v>3.0204081632653059</v>
      </c>
      <c r="L46">
        <v>22</v>
      </c>
      <c r="N46" s="6">
        <v>12450</v>
      </c>
      <c r="O46" s="6">
        <v>2550</v>
      </c>
      <c r="P46" s="6">
        <v>4000</v>
      </c>
      <c r="Q46" s="6">
        <v>19000</v>
      </c>
      <c r="R46" s="6">
        <f t="shared" si="6"/>
        <v>23680</v>
      </c>
      <c r="S46" s="22">
        <f t="shared" si="4"/>
        <v>-0.19763513513513509</v>
      </c>
      <c r="T46" s="6">
        <v>160</v>
      </c>
      <c r="U46" t="s">
        <v>112</v>
      </c>
      <c r="V46">
        <v>78</v>
      </c>
      <c r="W46" s="4">
        <v>1</v>
      </c>
      <c r="X46">
        <v>0.96</v>
      </c>
      <c r="Y46">
        <v>1991</v>
      </c>
      <c r="AC46" s="4">
        <v>1</v>
      </c>
      <c r="AD46">
        <v>0.93</v>
      </c>
      <c r="AE46">
        <v>1991</v>
      </c>
    </row>
    <row r="47" spans="1:39" x14ac:dyDescent="0.35">
      <c r="A47">
        <v>14</v>
      </c>
      <c r="B47" t="s">
        <v>103</v>
      </c>
      <c r="C47">
        <v>1975</v>
      </c>
      <c r="D47" t="s">
        <v>103</v>
      </c>
      <c r="E47" s="1">
        <f>+DATE(2022,11,21)</f>
        <v>44886</v>
      </c>
      <c r="F47" s="13" t="s">
        <v>59</v>
      </c>
      <c r="G47">
        <v>105</v>
      </c>
      <c r="H47" s="13" t="s">
        <v>81</v>
      </c>
      <c r="I47">
        <v>290</v>
      </c>
      <c r="J47" s="4">
        <f t="shared" si="5"/>
        <v>2.7619047619047619</v>
      </c>
      <c r="M47">
        <v>23</v>
      </c>
      <c r="N47" s="6">
        <v>32480</v>
      </c>
      <c r="O47" s="6">
        <v>2820</v>
      </c>
      <c r="P47" s="6">
        <v>6900</v>
      </c>
      <c r="Q47" s="6">
        <f>+SUM(N47:P47)</f>
        <v>42200</v>
      </c>
      <c r="R47" s="6">
        <f t="shared" si="6"/>
        <v>48140</v>
      </c>
      <c r="S47" s="22">
        <f t="shared" si="4"/>
        <v>-0.12339011217282925</v>
      </c>
      <c r="T47" s="6">
        <v>332</v>
      </c>
      <c r="U47" t="s">
        <v>20</v>
      </c>
      <c r="V47">
        <v>14</v>
      </c>
      <c r="W47" s="4">
        <v>1</v>
      </c>
      <c r="X47">
        <v>0.94</v>
      </c>
      <c r="Y47">
        <v>1975</v>
      </c>
      <c r="AC47" s="4">
        <v>0.35</v>
      </c>
      <c r="AD47">
        <v>0.93</v>
      </c>
      <c r="AE47">
        <v>1975</v>
      </c>
      <c r="AF47">
        <v>0.65</v>
      </c>
      <c r="AG47">
        <v>2.8</v>
      </c>
      <c r="AH47">
        <v>2015</v>
      </c>
    </row>
    <row r="48" spans="1:39" x14ac:dyDescent="0.35">
      <c r="A48">
        <v>71</v>
      </c>
      <c r="C48">
        <v>1979</v>
      </c>
      <c r="D48" t="s">
        <v>88</v>
      </c>
      <c r="E48" s="1">
        <v>45827</v>
      </c>
      <c r="F48" s="13" t="s">
        <v>59</v>
      </c>
      <c r="G48">
        <v>105</v>
      </c>
      <c r="H48" s="13" t="s">
        <v>59</v>
      </c>
      <c r="I48">
        <v>253</v>
      </c>
      <c r="J48" s="4">
        <f t="shared" si="5"/>
        <v>2.4095238095238094</v>
      </c>
      <c r="K48" s="14" t="s">
        <v>13</v>
      </c>
      <c r="M48">
        <v>15</v>
      </c>
      <c r="N48" s="6">
        <v>15900</v>
      </c>
      <c r="Q48" s="6">
        <v>15900</v>
      </c>
      <c r="R48" s="6">
        <f t="shared" si="6"/>
        <v>24920.5</v>
      </c>
      <c r="S48" s="22">
        <f t="shared" si="4"/>
        <v>-0.36197106799622802</v>
      </c>
      <c r="T48" s="6">
        <v>197</v>
      </c>
      <c r="U48" t="s">
        <v>20</v>
      </c>
      <c r="V48">
        <v>71</v>
      </c>
      <c r="W48" s="4">
        <v>1</v>
      </c>
      <c r="X48">
        <v>0.94</v>
      </c>
      <c r="Y48">
        <v>1979</v>
      </c>
      <c r="AC48" s="4">
        <v>1</v>
      </c>
      <c r="AD48">
        <v>0.93</v>
      </c>
      <c r="AE48">
        <v>1979</v>
      </c>
      <c r="AL48">
        <v>11082</v>
      </c>
      <c r="AM48">
        <v>8964</v>
      </c>
    </row>
    <row r="49" spans="1:39" x14ac:dyDescent="0.35">
      <c r="A49">
        <v>64</v>
      </c>
      <c r="B49" t="s">
        <v>226</v>
      </c>
      <c r="C49">
        <v>1977</v>
      </c>
      <c r="D49" t="s">
        <v>226</v>
      </c>
      <c r="E49" s="1">
        <v>41662</v>
      </c>
      <c r="F49" s="13" t="s">
        <v>59</v>
      </c>
      <c r="G49">
        <v>115</v>
      </c>
      <c r="H49" s="13" t="s">
        <v>81</v>
      </c>
      <c r="I49">
        <v>289</v>
      </c>
      <c r="J49" s="4">
        <f t="shared" si="5"/>
        <v>2.5130434782608697</v>
      </c>
      <c r="L49">
        <v>22</v>
      </c>
      <c r="N49" s="6">
        <v>26931</v>
      </c>
      <c r="O49" s="6">
        <v>3020</v>
      </c>
      <c r="P49" s="6">
        <v>4000</v>
      </c>
      <c r="Q49" s="6">
        <v>15670</v>
      </c>
      <c r="R49" s="6">
        <f t="shared" si="6"/>
        <v>33668.5</v>
      </c>
      <c r="S49" s="22">
        <f t="shared" si="4"/>
        <v>-0.53457980010989503</v>
      </c>
      <c r="T49" s="6">
        <v>233</v>
      </c>
      <c r="U49" t="s">
        <v>20</v>
      </c>
      <c r="V49">
        <v>64</v>
      </c>
      <c r="W49" s="4">
        <v>1</v>
      </c>
      <c r="X49">
        <v>0.94</v>
      </c>
      <c r="Y49">
        <v>1977</v>
      </c>
      <c r="AC49" s="4">
        <v>1</v>
      </c>
      <c r="AD49">
        <v>0.93</v>
      </c>
      <c r="AE49">
        <v>1977</v>
      </c>
    </row>
    <row r="50" spans="1:39" x14ac:dyDescent="0.35">
      <c r="A50">
        <v>5</v>
      </c>
      <c r="B50" t="s">
        <v>79</v>
      </c>
      <c r="C50">
        <v>1979</v>
      </c>
      <c r="D50" t="s">
        <v>79</v>
      </c>
      <c r="E50" s="1">
        <f>+DATE(2021,3,7)</f>
        <v>44262</v>
      </c>
      <c r="F50" s="13" t="s">
        <v>81</v>
      </c>
      <c r="G50">
        <v>116</v>
      </c>
      <c r="H50" s="13" t="s">
        <v>80</v>
      </c>
      <c r="I50">
        <v>342</v>
      </c>
      <c r="J50" s="4">
        <f t="shared" si="5"/>
        <v>2.9482758620689653</v>
      </c>
      <c r="M50">
        <v>26</v>
      </c>
      <c r="N50" s="6">
        <v>2770</v>
      </c>
      <c r="O50" s="6">
        <v>1850</v>
      </c>
      <c r="P50" s="6">
        <v>1500</v>
      </c>
      <c r="Q50" s="6">
        <f>+SUM(N50:P50)</f>
        <v>6120</v>
      </c>
      <c r="R50" s="6">
        <f t="shared" si="6"/>
        <v>14877</v>
      </c>
      <c r="S50" s="22">
        <f t="shared" si="4"/>
        <v>-0.58862673926194797</v>
      </c>
      <c r="T50" s="6">
        <v>87</v>
      </c>
      <c r="U50" t="s">
        <v>20</v>
      </c>
      <c r="V50">
        <v>5</v>
      </c>
      <c r="W50" s="4">
        <v>1</v>
      </c>
      <c r="X50">
        <v>0.94</v>
      </c>
      <c r="Y50">
        <v>1979</v>
      </c>
      <c r="AC50" s="4">
        <v>1</v>
      </c>
      <c r="AD50">
        <v>0.93</v>
      </c>
      <c r="AE50">
        <v>1976</v>
      </c>
    </row>
    <row r="51" spans="1:39" x14ac:dyDescent="0.35">
      <c r="A51">
        <v>76</v>
      </c>
      <c r="C51">
        <v>1984</v>
      </c>
      <c r="D51" t="s">
        <v>270</v>
      </c>
      <c r="E51" s="1">
        <v>44827</v>
      </c>
      <c r="F51" s="13" t="s">
        <v>58</v>
      </c>
      <c r="G51">
        <v>119</v>
      </c>
      <c r="H51" s="13" t="s">
        <v>59</v>
      </c>
      <c r="I51">
        <v>251</v>
      </c>
      <c r="J51" s="4">
        <f t="shared" si="5"/>
        <v>2.1092436974789917</v>
      </c>
      <c r="K51" s="14" t="s">
        <v>13</v>
      </c>
      <c r="M51">
        <v>16</v>
      </c>
      <c r="Q51" s="6">
        <v>42260</v>
      </c>
      <c r="R51" s="6">
        <f t="shared" si="6"/>
        <v>32155.135135135133</v>
      </c>
      <c r="S51" s="22">
        <f t="shared" si="4"/>
        <v>0.31425353438566428</v>
      </c>
      <c r="T51" s="6">
        <v>237</v>
      </c>
      <c r="U51" t="s">
        <v>20</v>
      </c>
      <c r="V51">
        <v>76</v>
      </c>
      <c r="W51" s="4">
        <v>0.9</v>
      </c>
      <c r="X51">
        <v>0.93</v>
      </c>
      <c r="Y51">
        <v>2005</v>
      </c>
      <c r="Z51" s="4">
        <v>0.1</v>
      </c>
      <c r="AA51">
        <v>0.6</v>
      </c>
      <c r="AB51">
        <v>2018</v>
      </c>
      <c r="AC51" s="4">
        <v>1</v>
      </c>
      <c r="AD51">
        <v>0.93</v>
      </c>
      <c r="AE51">
        <v>2002</v>
      </c>
      <c r="AL51">
        <v>9570</v>
      </c>
      <c r="AM51">
        <v>9570</v>
      </c>
    </row>
    <row r="52" spans="1:39" x14ac:dyDescent="0.35">
      <c r="A52">
        <v>63</v>
      </c>
      <c r="B52" t="s">
        <v>222</v>
      </c>
      <c r="C52">
        <v>1988</v>
      </c>
      <c r="D52" t="s">
        <v>222</v>
      </c>
      <c r="E52" s="1">
        <v>45715</v>
      </c>
      <c r="F52" s="13" t="s">
        <v>59</v>
      </c>
      <c r="G52">
        <v>120</v>
      </c>
      <c r="H52" s="13" t="s">
        <v>59</v>
      </c>
      <c r="I52">
        <v>263</v>
      </c>
      <c r="J52" s="4">
        <f t="shared" si="5"/>
        <v>2.1916666666666669</v>
      </c>
      <c r="K52" s="14" t="s">
        <v>13</v>
      </c>
      <c r="M52">
        <v>16</v>
      </c>
      <c r="N52" s="23"/>
      <c r="O52" s="23"/>
      <c r="P52" s="23"/>
      <c r="Q52" s="6">
        <v>15670</v>
      </c>
      <c r="R52" s="6">
        <f t="shared" si="6"/>
        <v>35649.169435215947</v>
      </c>
      <c r="S52" s="22">
        <f t="shared" si="4"/>
        <v>-0.56043856706180573</v>
      </c>
      <c r="T52" s="6">
        <v>204</v>
      </c>
      <c r="U52" t="s">
        <v>223</v>
      </c>
      <c r="V52">
        <v>63</v>
      </c>
      <c r="W52" s="4">
        <v>0.67</v>
      </c>
      <c r="X52">
        <v>0.94</v>
      </c>
      <c r="Y52">
        <v>1988</v>
      </c>
      <c r="Z52" s="4">
        <v>0.33</v>
      </c>
      <c r="AA52">
        <v>0.64</v>
      </c>
      <c r="AB52">
        <v>1988</v>
      </c>
      <c r="AC52" s="4">
        <v>1</v>
      </c>
      <c r="AD52">
        <v>0.93</v>
      </c>
      <c r="AE52">
        <v>2023</v>
      </c>
      <c r="AL52">
        <v>2340</v>
      </c>
      <c r="AM52">
        <v>2340</v>
      </c>
    </row>
    <row r="53" spans="1:39" x14ac:dyDescent="0.35">
      <c r="A53">
        <v>81</v>
      </c>
      <c r="C53">
        <v>1978</v>
      </c>
      <c r="D53" t="s">
        <v>222</v>
      </c>
      <c r="E53" s="1">
        <v>42768</v>
      </c>
      <c r="F53" s="13" t="s">
        <v>81</v>
      </c>
      <c r="G53">
        <v>124</v>
      </c>
      <c r="H53" s="13" t="s">
        <v>80</v>
      </c>
      <c r="I53">
        <v>368</v>
      </c>
      <c r="J53" s="4">
        <f t="shared" si="5"/>
        <v>2.967741935483871</v>
      </c>
      <c r="L53">
        <v>29</v>
      </c>
      <c r="N53" s="6">
        <v>10150</v>
      </c>
      <c r="O53" s="6">
        <v>2540</v>
      </c>
      <c r="P53" s="6">
        <v>3000</v>
      </c>
      <c r="Q53" s="6">
        <f t="shared" ref="Q53:Q58" si="8">+SUM(N53:P53)</f>
        <v>15690</v>
      </c>
      <c r="R53" s="6">
        <f t="shared" si="6"/>
        <v>25760</v>
      </c>
      <c r="S53" s="22">
        <f t="shared" si="4"/>
        <v>-0.39091614906832295</v>
      </c>
      <c r="T53" s="6">
        <v>140</v>
      </c>
      <c r="U53" t="s">
        <v>20</v>
      </c>
      <c r="V53">
        <v>81</v>
      </c>
      <c r="W53" s="4">
        <v>1</v>
      </c>
      <c r="X53">
        <v>0.93</v>
      </c>
      <c r="Y53">
        <v>2008</v>
      </c>
      <c r="AC53" s="4">
        <v>1</v>
      </c>
      <c r="AD53">
        <v>0.93</v>
      </c>
      <c r="AE53">
        <v>2008</v>
      </c>
    </row>
    <row r="54" spans="1:39" x14ac:dyDescent="0.35">
      <c r="A54">
        <v>6</v>
      </c>
      <c r="B54" t="s">
        <v>122</v>
      </c>
      <c r="C54">
        <v>1973</v>
      </c>
      <c r="D54" t="s">
        <v>122</v>
      </c>
      <c r="E54" s="1">
        <f>+DATE(2022,6,1)</f>
        <v>44713</v>
      </c>
      <c r="F54" s="13" t="s">
        <v>81</v>
      </c>
      <c r="G54">
        <v>126</v>
      </c>
      <c r="H54" s="13" t="s">
        <v>80</v>
      </c>
      <c r="I54">
        <v>392</v>
      </c>
      <c r="J54" s="4">
        <f t="shared" si="5"/>
        <v>3.1111111111111112</v>
      </c>
      <c r="M54">
        <v>30</v>
      </c>
      <c r="N54" s="6">
        <v>15480</v>
      </c>
      <c r="O54" s="6">
        <v>990</v>
      </c>
      <c r="P54" s="6">
        <v>1600</v>
      </c>
      <c r="Q54" s="6">
        <f t="shared" si="8"/>
        <v>18070</v>
      </c>
      <c r="R54" s="6">
        <f t="shared" si="6"/>
        <v>27048</v>
      </c>
      <c r="S54" s="22">
        <f t="shared" si="4"/>
        <v>-0.33192842354333041</v>
      </c>
      <c r="T54" s="6">
        <v>138</v>
      </c>
      <c r="U54" t="s">
        <v>20</v>
      </c>
      <c r="V54">
        <v>6</v>
      </c>
      <c r="W54" s="4">
        <v>1</v>
      </c>
      <c r="X54">
        <v>0.87</v>
      </c>
      <c r="Y54">
        <v>1972</v>
      </c>
      <c r="AC54" s="4">
        <v>1</v>
      </c>
      <c r="AD54">
        <v>0.93</v>
      </c>
      <c r="AE54">
        <v>1993</v>
      </c>
    </row>
    <row r="55" spans="1:39" x14ac:dyDescent="0.35">
      <c r="A55">
        <v>27</v>
      </c>
      <c r="B55" t="s">
        <v>151</v>
      </c>
      <c r="C55">
        <v>1985</v>
      </c>
      <c r="D55" t="s">
        <v>262</v>
      </c>
      <c r="E55" s="1">
        <f>+DATE(2022,2,8)</f>
        <v>44600</v>
      </c>
      <c r="F55" s="13" t="s">
        <v>81</v>
      </c>
      <c r="G55">
        <v>143</v>
      </c>
      <c r="H55" s="13" t="s">
        <v>81</v>
      </c>
      <c r="I55">
        <v>308</v>
      </c>
      <c r="J55" s="4">
        <f t="shared" si="5"/>
        <v>2.1538461538461537</v>
      </c>
      <c r="M55">
        <v>22</v>
      </c>
      <c r="N55" s="6">
        <v>11660</v>
      </c>
      <c r="O55" s="6">
        <v>2040</v>
      </c>
      <c r="P55" s="6">
        <v>2500</v>
      </c>
      <c r="Q55" s="6">
        <f t="shared" si="8"/>
        <v>16200</v>
      </c>
      <c r="R55" s="6">
        <f t="shared" si="6"/>
        <v>20451.2</v>
      </c>
      <c r="S55" s="22">
        <f t="shared" si="4"/>
        <v>-0.20787044281020184</v>
      </c>
      <c r="T55" s="6">
        <v>166</v>
      </c>
      <c r="U55" t="s">
        <v>223</v>
      </c>
      <c r="V55">
        <v>27</v>
      </c>
      <c r="W55" s="4">
        <v>1</v>
      </c>
      <c r="X55">
        <v>0.94</v>
      </c>
      <c r="Y55">
        <v>1985</v>
      </c>
      <c r="Z55" s="4">
        <v>1</v>
      </c>
      <c r="AA55">
        <v>0.85</v>
      </c>
      <c r="AB55">
        <v>2015</v>
      </c>
      <c r="AC55" s="4">
        <v>1</v>
      </c>
      <c r="AD55">
        <v>0.83</v>
      </c>
      <c r="AE55">
        <v>2010</v>
      </c>
      <c r="AL55">
        <v>6000</v>
      </c>
      <c r="AM55">
        <v>4200</v>
      </c>
    </row>
    <row r="56" spans="1:39" x14ac:dyDescent="0.35">
      <c r="A56">
        <v>20</v>
      </c>
      <c r="B56" t="s">
        <v>79</v>
      </c>
      <c r="C56">
        <v>1973</v>
      </c>
      <c r="D56" t="s">
        <v>79</v>
      </c>
      <c r="E56" s="1">
        <f>+DATE(2023,4,23)</f>
        <v>45039</v>
      </c>
      <c r="F56" s="13" t="s">
        <v>80</v>
      </c>
      <c r="G56">
        <v>147</v>
      </c>
      <c r="H56" s="13" t="s">
        <v>81</v>
      </c>
      <c r="I56">
        <v>278</v>
      </c>
      <c r="J56" s="4">
        <f t="shared" si="5"/>
        <v>1.8911564625850341</v>
      </c>
      <c r="K56" s="14" t="s">
        <v>13</v>
      </c>
      <c r="M56">
        <v>16</v>
      </c>
      <c r="N56" s="6">
        <v>19330</v>
      </c>
      <c r="O56" s="6">
        <v>1030</v>
      </c>
      <c r="P56" s="6">
        <v>1000</v>
      </c>
      <c r="Q56" s="6">
        <f t="shared" si="8"/>
        <v>21360</v>
      </c>
      <c r="R56" s="6">
        <f t="shared" si="6"/>
        <v>28851.89189189189</v>
      </c>
      <c r="S56" s="22">
        <f t="shared" si="4"/>
        <v>-0.25966726618705027</v>
      </c>
      <c r="T56" s="6">
        <v>192</v>
      </c>
      <c r="U56" t="s">
        <v>20</v>
      </c>
      <c r="V56">
        <v>20</v>
      </c>
      <c r="W56" s="4">
        <v>0.9</v>
      </c>
      <c r="X56">
        <v>1</v>
      </c>
      <c r="Y56">
        <v>1990</v>
      </c>
      <c r="Z56" s="4">
        <v>0.1</v>
      </c>
      <c r="AA56">
        <v>0.7</v>
      </c>
      <c r="AB56">
        <v>2008</v>
      </c>
      <c r="AF56">
        <v>100</v>
      </c>
      <c r="AG56">
        <v>2.8</v>
      </c>
      <c r="AH56">
        <v>2016</v>
      </c>
      <c r="AL56">
        <v>7177</v>
      </c>
      <c r="AM56">
        <v>4593</v>
      </c>
    </row>
    <row r="57" spans="1:39" x14ac:dyDescent="0.35">
      <c r="A57">
        <v>8</v>
      </c>
      <c r="B57" t="s">
        <v>116</v>
      </c>
      <c r="C57">
        <v>1977</v>
      </c>
      <c r="D57" t="s">
        <v>116</v>
      </c>
      <c r="E57" s="1">
        <f>+DATE(2018,5,17)</f>
        <v>43237</v>
      </c>
      <c r="F57" s="13" t="s">
        <v>81</v>
      </c>
      <c r="G57">
        <v>164</v>
      </c>
      <c r="H57" s="13" t="s">
        <v>80</v>
      </c>
      <c r="I57">
        <v>285</v>
      </c>
      <c r="J57" s="4">
        <f t="shared" si="5"/>
        <v>1.7378048780487805</v>
      </c>
      <c r="M57">
        <v>29</v>
      </c>
      <c r="N57" s="6">
        <v>26130</v>
      </c>
      <c r="O57" s="6">
        <v>1380</v>
      </c>
      <c r="P57" s="6">
        <v>4500</v>
      </c>
      <c r="Q57" s="6">
        <f t="shared" si="8"/>
        <v>32010</v>
      </c>
      <c r="R57" s="6">
        <f t="shared" si="6"/>
        <v>35197.5</v>
      </c>
      <c r="S57" s="22">
        <f t="shared" si="4"/>
        <v>-9.0560409119965879E-2</v>
      </c>
      <c r="T57" s="6">
        <v>247</v>
      </c>
      <c r="U57" t="s">
        <v>20</v>
      </c>
      <c r="V57">
        <v>8</v>
      </c>
      <c r="W57" s="4">
        <v>1</v>
      </c>
      <c r="X57">
        <v>1</v>
      </c>
      <c r="Y57">
        <v>2005</v>
      </c>
      <c r="AF57">
        <v>100</v>
      </c>
      <c r="AG57">
        <v>2.8</v>
      </c>
      <c r="AH57">
        <v>2018</v>
      </c>
      <c r="AL57" s="15" t="s">
        <v>149</v>
      </c>
    </row>
    <row r="58" spans="1:39" x14ac:dyDescent="0.35">
      <c r="A58">
        <v>60</v>
      </c>
      <c r="B58" t="s">
        <v>219</v>
      </c>
      <c r="C58">
        <v>1984</v>
      </c>
      <c r="D58" t="s">
        <v>219</v>
      </c>
      <c r="E58" s="1">
        <v>45426</v>
      </c>
      <c r="F58" s="13" t="s">
        <v>80</v>
      </c>
      <c r="G58">
        <v>196</v>
      </c>
      <c r="H58" s="13" t="s">
        <v>80</v>
      </c>
      <c r="I58">
        <v>503</v>
      </c>
      <c r="J58" s="4">
        <f t="shared" si="5"/>
        <v>2.5663265306122449</v>
      </c>
      <c r="K58" s="14" t="s">
        <v>13</v>
      </c>
      <c r="M58">
        <v>32</v>
      </c>
      <c r="N58" s="6">
        <v>5650</v>
      </c>
      <c r="O58" s="6">
        <v>1000</v>
      </c>
      <c r="P58" s="6">
        <v>1000</v>
      </c>
      <c r="Q58" s="6">
        <f t="shared" si="8"/>
        <v>7650</v>
      </c>
      <c r="R58" s="6">
        <f t="shared" si="6"/>
        <v>35713</v>
      </c>
      <c r="S58" s="22">
        <f t="shared" si="4"/>
        <v>-0.78579228852238681</v>
      </c>
      <c r="T58" s="6">
        <v>142</v>
      </c>
      <c r="U58" t="s">
        <v>112</v>
      </c>
      <c r="V58">
        <v>60</v>
      </c>
      <c r="W58" s="4">
        <v>1</v>
      </c>
      <c r="X58">
        <v>0.94</v>
      </c>
      <c r="Y58">
        <v>1984</v>
      </c>
      <c r="AC58" s="4">
        <v>1</v>
      </c>
      <c r="AD58">
        <v>0.93</v>
      </c>
      <c r="AE58">
        <v>1984</v>
      </c>
    </row>
    <row r="59" spans="1:39" x14ac:dyDescent="0.35">
      <c r="A59" t="s">
        <v>250</v>
      </c>
      <c r="B59" t="s">
        <v>250</v>
      </c>
      <c r="C59" t="s">
        <v>250</v>
      </c>
      <c r="E59" t="s">
        <v>250</v>
      </c>
      <c r="F59" t="s">
        <v>250</v>
      </c>
      <c r="G59" t="s">
        <v>250</v>
      </c>
      <c r="H59" t="s">
        <v>250</v>
      </c>
      <c r="I59" t="s">
        <v>250</v>
      </c>
      <c r="J59" t="s">
        <v>250</v>
      </c>
      <c r="K59" t="s">
        <v>250</v>
      </c>
      <c r="L59" t="s">
        <v>250</v>
      </c>
      <c r="M59" t="s">
        <v>250</v>
      </c>
      <c r="N59" t="s">
        <v>250</v>
      </c>
      <c r="O59" t="s">
        <v>250</v>
      </c>
      <c r="P59" t="s">
        <v>250</v>
      </c>
      <c r="Q59" t="s">
        <v>250</v>
      </c>
      <c r="R59" t="s">
        <v>250</v>
      </c>
      <c r="S59" t="s">
        <v>250</v>
      </c>
      <c r="T59" t="s">
        <v>250</v>
      </c>
      <c r="U59" t="s">
        <v>250</v>
      </c>
      <c r="V59" t="s">
        <v>250</v>
      </c>
      <c r="W59" t="s">
        <v>250</v>
      </c>
      <c r="X59" t="s">
        <v>250</v>
      </c>
      <c r="Y59" t="s">
        <v>250</v>
      </c>
      <c r="Z59" t="s">
        <v>250</v>
      </c>
      <c r="AA59" t="s">
        <v>250</v>
      </c>
      <c r="AB59" t="s">
        <v>250</v>
      </c>
      <c r="AC59" t="s">
        <v>250</v>
      </c>
      <c r="AD59" t="s">
        <v>250</v>
      </c>
      <c r="AE59" t="s">
        <v>250</v>
      </c>
      <c r="AF59" t="s">
        <v>250</v>
      </c>
      <c r="AG59" t="s">
        <v>250</v>
      </c>
      <c r="AH59" t="s">
        <v>250</v>
      </c>
      <c r="AI59" t="s">
        <v>250</v>
      </c>
      <c r="AJ59" t="s">
        <v>250</v>
      </c>
      <c r="AK59" t="s">
        <v>250</v>
      </c>
      <c r="AL59" t="s">
        <v>250</v>
      </c>
      <c r="AM59" t="s">
        <v>250</v>
      </c>
    </row>
    <row r="60" spans="1:39" x14ac:dyDescent="0.35">
      <c r="T60" s="6"/>
    </row>
  </sheetData>
  <sortState xmlns:xlrd2="http://schemas.microsoft.com/office/spreadsheetml/2017/richdata2" ref="A3:AM58">
    <sortCondition ref="G3:G58"/>
    <sortCondition ref="F3:F58"/>
  </sortState>
  <mergeCells count="10">
    <mergeCell ref="F1:G1"/>
    <mergeCell ref="H1:I1"/>
    <mergeCell ref="K1:L1"/>
    <mergeCell ref="N1:Q1"/>
    <mergeCell ref="W1:Y1"/>
    <mergeCell ref="Z1:AB1"/>
    <mergeCell ref="AC1:AE1"/>
    <mergeCell ref="AF1:AH1"/>
    <mergeCell ref="AI1:AK1"/>
    <mergeCell ref="AL1:AM1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&amp;L&amp;"Times New Roman,Gras"&amp;14CHOC ELECTRIQUE&amp;C&amp;"Times New Roman,Gras"&amp;12CECB de villas individuelles&amp;R&amp;"Times New Roman,Gras"Tri selon efficacité GLOBALE (col.K)</oddHeader>
    <oddFooter>&amp;L&amp;Z&amp;F&amp;A&amp;Rjpm  le &amp;D&amp;T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9F125-1877-427E-82EE-5033EBE6AE3E}">
  <sheetPr>
    <pageSetUpPr fitToPage="1"/>
  </sheetPr>
  <dimension ref="A1:BZ59"/>
  <sheetViews>
    <sheetView tabSelected="1" workbookViewId="0">
      <pane xSplit="1" ySplit="2" topLeftCell="F31" activePane="bottomRight" state="frozen"/>
      <selection activeCell="D66" sqref="D66"/>
      <selection pane="topRight" activeCell="D66" sqref="D66"/>
      <selection pane="bottomLeft" activeCell="D66" sqref="D66"/>
      <selection pane="bottomRight" activeCell="S1" sqref="S1"/>
    </sheetView>
  </sheetViews>
  <sheetFormatPr baseColWidth="10" defaultRowHeight="14.5" x14ac:dyDescent="0.35"/>
  <cols>
    <col min="2" max="4" width="0" hidden="1" customWidth="1"/>
    <col min="5" max="5" width="14" hidden="1" customWidth="1"/>
    <col min="6" max="6" width="14" customWidth="1"/>
    <col min="7" max="7" width="11.36328125" customWidth="1"/>
    <col min="8" max="8" width="10.90625" style="13" customWidth="1"/>
    <col min="9" max="9" width="10.90625" customWidth="1"/>
    <col min="10" max="10" width="11.6328125" style="13" customWidth="1"/>
    <col min="11" max="12" width="10.90625" customWidth="1"/>
    <col min="13" max="13" width="10.90625" style="14" hidden="1" customWidth="1"/>
    <col min="14" max="14" width="12.90625" hidden="1" customWidth="1"/>
    <col min="15" max="15" width="10.90625" hidden="1" customWidth="1"/>
    <col min="16" max="18" width="10.90625" style="6" hidden="1" customWidth="1"/>
    <col min="19" max="19" width="10.90625" style="6" customWidth="1"/>
    <col min="20" max="20" width="12.81640625" style="6" customWidth="1"/>
    <col min="21" max="21" width="10.90625" style="6" customWidth="1"/>
    <col min="22" max="22" width="10.90625" customWidth="1"/>
    <col min="23" max="23" width="11.1796875" customWidth="1"/>
    <col min="24" max="24" width="10.90625" hidden="1" customWidth="1"/>
    <col min="25" max="25" width="10.90625" style="9" hidden="1" customWidth="1"/>
    <col min="26" max="27" width="10.90625" hidden="1" customWidth="1"/>
    <col min="40" max="40" width="10.90625" style="4"/>
    <col min="46" max="46" width="10.90625" style="4"/>
    <col min="49" max="49" width="10.90625" style="4"/>
  </cols>
  <sheetData>
    <row r="1" spans="1:77" s="2" customFormat="1" ht="43.25" customHeight="1" x14ac:dyDescent="0.35">
      <c r="A1" s="7"/>
      <c r="H1" s="25" t="s">
        <v>143</v>
      </c>
      <c r="I1" s="25"/>
      <c r="J1" s="25" t="s">
        <v>144</v>
      </c>
      <c r="K1" s="25"/>
      <c r="L1" s="7"/>
      <c r="M1" s="25" t="s">
        <v>145</v>
      </c>
      <c r="N1" s="25"/>
      <c r="O1" s="2" t="s">
        <v>150</v>
      </c>
      <c r="P1" s="26" t="s">
        <v>141</v>
      </c>
      <c r="Q1" s="26"/>
      <c r="R1" s="26"/>
      <c r="S1" s="27">
        <v>0.44230769230769229</v>
      </c>
      <c r="T1" s="20"/>
      <c r="U1" s="20"/>
      <c r="Y1" s="8"/>
      <c r="AD1" s="25" t="s">
        <v>158</v>
      </c>
      <c r="AE1" s="25"/>
      <c r="AF1" s="25"/>
      <c r="AG1" s="25"/>
      <c r="AH1" s="25" t="s">
        <v>25</v>
      </c>
      <c r="AI1" s="25"/>
      <c r="AJ1" s="25"/>
      <c r="AK1" s="25"/>
      <c r="AL1" s="25" t="s">
        <v>27</v>
      </c>
      <c r="AM1" s="25"/>
      <c r="AN1" s="25" t="s">
        <v>28</v>
      </c>
      <c r="AO1" s="25"/>
      <c r="AP1" s="25"/>
      <c r="AQ1" s="25" t="s">
        <v>108</v>
      </c>
      <c r="AR1" s="25"/>
      <c r="AS1" s="25"/>
      <c r="AT1" s="25" t="s">
        <v>31</v>
      </c>
      <c r="AU1" s="25"/>
      <c r="AV1" s="25"/>
      <c r="AW1" s="25" t="s">
        <v>62</v>
      </c>
      <c r="AX1" s="25"/>
      <c r="AY1" s="25"/>
      <c r="AZ1" s="25" t="s">
        <v>32</v>
      </c>
      <c r="BA1" s="25"/>
      <c r="BB1" s="25"/>
      <c r="BC1" s="25" t="s">
        <v>33</v>
      </c>
      <c r="BD1" s="25"/>
      <c r="BE1" s="25"/>
      <c r="BG1" s="25" t="s">
        <v>36</v>
      </c>
      <c r="BH1" s="25"/>
      <c r="BI1" s="25"/>
      <c r="BJ1" s="25" t="s">
        <v>41</v>
      </c>
      <c r="BK1" s="25"/>
      <c r="BL1" s="2" t="s">
        <v>44</v>
      </c>
      <c r="BM1" s="25" t="s">
        <v>45</v>
      </c>
      <c r="BN1" s="25"/>
      <c r="BP1" s="25" t="s">
        <v>49</v>
      </c>
      <c r="BQ1" s="25"/>
      <c r="BR1" s="25"/>
      <c r="BS1" s="25"/>
      <c r="BT1" s="25" t="s">
        <v>53</v>
      </c>
      <c r="BU1" s="25"/>
      <c r="BV1" s="25"/>
      <c r="BW1" s="25"/>
      <c r="BX1" s="2" t="s">
        <v>55</v>
      </c>
    </row>
    <row r="2" spans="1:77" s="2" customFormat="1" ht="43.5" x14ac:dyDescent="0.35">
      <c r="A2" s="2" t="s">
        <v>0</v>
      </c>
      <c r="B2" s="2" t="s">
        <v>98</v>
      </c>
      <c r="C2" s="2" t="s">
        <v>1</v>
      </c>
      <c r="D2" s="2" t="s">
        <v>2</v>
      </c>
      <c r="E2" s="2" t="s">
        <v>3</v>
      </c>
      <c r="F2" s="2" t="s">
        <v>284</v>
      </c>
      <c r="G2" s="2" t="s">
        <v>9</v>
      </c>
      <c r="H2" s="12" t="s">
        <v>146</v>
      </c>
      <c r="I2" s="2" t="s">
        <v>4</v>
      </c>
      <c r="J2" s="12" t="s">
        <v>147</v>
      </c>
      <c r="K2" s="2" t="s">
        <v>5</v>
      </c>
      <c r="L2" s="2" t="s">
        <v>224</v>
      </c>
      <c r="M2" s="7" t="s">
        <v>148</v>
      </c>
      <c r="N2" s="2" t="s">
        <v>8</v>
      </c>
      <c r="O2" s="2" t="s">
        <v>7</v>
      </c>
      <c r="P2" s="5" t="s">
        <v>54</v>
      </c>
      <c r="Q2" s="5" t="s">
        <v>78</v>
      </c>
      <c r="R2" s="5" t="s">
        <v>142</v>
      </c>
      <c r="S2" s="5" t="s">
        <v>217</v>
      </c>
      <c r="T2" s="5" t="s">
        <v>283</v>
      </c>
      <c r="U2" s="5" t="s">
        <v>218</v>
      </c>
      <c r="V2" s="2" t="s">
        <v>10</v>
      </c>
      <c r="W2" s="2" t="s">
        <v>14</v>
      </c>
      <c r="X2" s="2" t="s">
        <v>15</v>
      </c>
      <c r="Y2" s="8" t="s">
        <v>16</v>
      </c>
      <c r="Z2" s="2" t="s">
        <v>17</v>
      </c>
      <c r="AA2" s="2" t="s">
        <v>18</v>
      </c>
      <c r="AB2" s="2" t="s">
        <v>19</v>
      </c>
      <c r="AC2" s="2" t="s">
        <v>139</v>
      </c>
      <c r="AD2" s="2" t="s">
        <v>21</v>
      </c>
      <c r="AE2" s="2" t="s">
        <v>22</v>
      </c>
      <c r="AF2" s="2" t="s">
        <v>23</v>
      </c>
      <c r="AG2" s="2" t="s">
        <v>24</v>
      </c>
      <c r="AH2" s="2" t="s">
        <v>21</v>
      </c>
      <c r="AI2" s="2" t="s">
        <v>22</v>
      </c>
      <c r="AJ2" s="2" t="s">
        <v>23</v>
      </c>
      <c r="AK2" s="2" t="s">
        <v>24</v>
      </c>
      <c r="AL2" s="2" t="s">
        <v>26</v>
      </c>
      <c r="AM2" s="2" t="s">
        <v>86</v>
      </c>
      <c r="AN2" s="3" t="s">
        <v>277</v>
      </c>
      <c r="AO2" s="2" t="s">
        <v>278</v>
      </c>
      <c r="AP2" s="2" t="s">
        <v>30</v>
      </c>
      <c r="AQ2" s="3" t="s">
        <v>279</v>
      </c>
      <c r="AR2" s="2" t="s">
        <v>280</v>
      </c>
      <c r="AS2" s="2" t="s">
        <v>30</v>
      </c>
      <c r="AT2" s="3" t="s">
        <v>281</v>
      </c>
      <c r="AU2" s="2" t="s">
        <v>282</v>
      </c>
      <c r="AV2" s="2" t="s">
        <v>30</v>
      </c>
      <c r="AW2" s="3" t="s">
        <v>63</v>
      </c>
      <c r="AX2" s="2" t="s">
        <v>29</v>
      </c>
      <c r="AY2" s="2" t="s">
        <v>30</v>
      </c>
      <c r="AZ2" s="3" t="s">
        <v>34</v>
      </c>
      <c r="BA2" s="2" t="s">
        <v>29</v>
      </c>
      <c r="BB2" s="2" t="s">
        <v>30</v>
      </c>
      <c r="BC2" s="3" t="s">
        <v>34</v>
      </c>
      <c r="BD2" s="2" t="s">
        <v>29</v>
      </c>
      <c r="BE2" s="2" t="s">
        <v>30</v>
      </c>
      <c r="BF2" s="2" t="s">
        <v>35</v>
      </c>
      <c r="BG2" s="2" t="s">
        <v>37</v>
      </c>
      <c r="BH2" s="2" t="s">
        <v>38</v>
      </c>
      <c r="BI2" s="2" t="s">
        <v>39</v>
      </c>
      <c r="BJ2" s="2" t="s">
        <v>42</v>
      </c>
      <c r="BK2" s="2" t="s">
        <v>43</v>
      </c>
      <c r="BL2" s="2" t="s">
        <v>140</v>
      </c>
      <c r="BM2" s="2" t="s">
        <v>46</v>
      </c>
      <c r="BN2" s="2" t="s">
        <v>47</v>
      </c>
      <c r="BO2" s="2" t="s">
        <v>48</v>
      </c>
      <c r="BP2" s="2" t="s">
        <v>50</v>
      </c>
      <c r="BQ2" s="2" t="s">
        <v>40</v>
      </c>
      <c r="BR2" s="2" t="s">
        <v>51</v>
      </c>
      <c r="BS2" s="2" t="s">
        <v>52</v>
      </c>
      <c r="BT2" s="2" t="s">
        <v>50</v>
      </c>
      <c r="BU2" s="2" t="s">
        <v>40</v>
      </c>
      <c r="BV2" s="2" t="s">
        <v>51</v>
      </c>
      <c r="BW2" s="2" t="s">
        <v>52</v>
      </c>
      <c r="BX2" s="2" t="s">
        <v>55</v>
      </c>
      <c r="BY2" s="2" t="s">
        <v>56</v>
      </c>
    </row>
    <row r="3" spans="1:77" x14ac:dyDescent="0.35">
      <c r="A3">
        <v>60</v>
      </c>
      <c r="B3" t="s">
        <v>100</v>
      </c>
      <c r="C3" t="s">
        <v>219</v>
      </c>
      <c r="D3">
        <v>1984</v>
      </c>
      <c r="E3" t="s">
        <v>12</v>
      </c>
      <c r="F3" t="s">
        <v>219</v>
      </c>
      <c r="G3" s="1">
        <v>45426</v>
      </c>
      <c r="H3" s="13" t="s">
        <v>80</v>
      </c>
      <c r="I3">
        <v>196</v>
      </c>
      <c r="J3" s="13" t="s">
        <v>80</v>
      </c>
      <c r="K3">
        <v>503</v>
      </c>
      <c r="L3" s="4">
        <f t="shared" ref="L3:L34" si="0">+K3/I3</f>
        <v>2.5663265306122449</v>
      </c>
      <c r="M3" s="14" t="s">
        <v>13</v>
      </c>
      <c r="O3">
        <v>32</v>
      </c>
      <c r="P3" s="6">
        <v>5650</v>
      </c>
      <c r="Q3" s="6">
        <v>1000</v>
      </c>
      <c r="R3" s="6">
        <v>1000</v>
      </c>
      <c r="S3" s="6">
        <f>+SUM(P3:R3)</f>
        <v>7650</v>
      </c>
      <c r="T3" s="6">
        <f t="shared" ref="T3:T34" si="1">+W3*K3/((2*AN3)+(0.5*AT3))</f>
        <v>35713</v>
      </c>
      <c r="U3" s="22">
        <f t="shared" ref="U3:U40" si="2">+S3/T3-1</f>
        <v>-0.78579228852238681</v>
      </c>
      <c r="V3" t="s">
        <v>220</v>
      </c>
      <c r="W3" s="6">
        <v>142</v>
      </c>
      <c r="X3" s="6">
        <v>1</v>
      </c>
      <c r="Y3" s="9">
        <v>4.4000000000000004</v>
      </c>
      <c r="Z3">
        <v>2</v>
      </c>
      <c r="AA3">
        <v>2.17</v>
      </c>
      <c r="AB3" t="s">
        <v>112</v>
      </c>
      <c r="AC3">
        <v>60</v>
      </c>
      <c r="AD3">
        <v>0.28999999999999998</v>
      </c>
      <c r="AE3">
        <v>0.36</v>
      </c>
      <c r="AF3">
        <v>0.85</v>
      </c>
      <c r="AG3">
        <v>2.5</v>
      </c>
      <c r="AH3">
        <v>0.28999999999999998</v>
      </c>
      <c r="AI3">
        <v>0.3</v>
      </c>
      <c r="AJ3">
        <v>1.3</v>
      </c>
      <c r="AL3">
        <v>142</v>
      </c>
      <c r="AN3" s="4">
        <v>1</v>
      </c>
      <c r="AO3">
        <v>0.94</v>
      </c>
      <c r="AP3">
        <v>1984</v>
      </c>
      <c r="AW3" s="4">
        <v>1</v>
      </c>
      <c r="AX3">
        <v>0.93</v>
      </c>
      <c r="AY3">
        <v>1984</v>
      </c>
      <c r="BF3">
        <v>56</v>
      </c>
      <c r="BG3">
        <v>0.7</v>
      </c>
      <c r="BH3" t="s">
        <v>83</v>
      </c>
      <c r="BM3">
        <v>58</v>
      </c>
      <c r="BN3">
        <v>41</v>
      </c>
      <c r="BO3">
        <v>117</v>
      </c>
      <c r="BQ3" t="s">
        <v>221</v>
      </c>
      <c r="BR3" t="s">
        <v>136</v>
      </c>
      <c r="BS3" t="s">
        <v>65</v>
      </c>
      <c r="BU3" t="s">
        <v>216</v>
      </c>
      <c r="BW3" t="s">
        <v>95</v>
      </c>
    </row>
    <row r="4" spans="1:77" x14ac:dyDescent="0.35">
      <c r="A4">
        <v>48</v>
      </c>
      <c r="B4" t="s">
        <v>100</v>
      </c>
      <c r="C4" t="s">
        <v>186</v>
      </c>
      <c r="D4">
        <v>1990</v>
      </c>
      <c r="E4" t="s">
        <v>12</v>
      </c>
      <c r="F4" t="s">
        <v>186</v>
      </c>
      <c r="G4" s="1">
        <f>+DATE(2023,10,20)</f>
        <v>45219</v>
      </c>
      <c r="H4" s="13" t="s">
        <v>58</v>
      </c>
      <c r="I4">
        <v>92</v>
      </c>
      <c r="J4" s="13" t="s">
        <v>81</v>
      </c>
      <c r="K4">
        <v>274</v>
      </c>
      <c r="L4" s="4">
        <f t="shared" si="0"/>
        <v>2.9782608695652173</v>
      </c>
      <c r="M4" s="14" t="s">
        <v>13</v>
      </c>
      <c r="O4">
        <v>17</v>
      </c>
      <c r="S4" s="6">
        <f>+SUM(P4:R4)</f>
        <v>0</v>
      </c>
      <c r="T4" s="6">
        <f t="shared" si="1"/>
        <v>22742</v>
      </c>
      <c r="U4" s="22">
        <f t="shared" si="2"/>
        <v>-1</v>
      </c>
      <c r="V4" t="s">
        <v>200</v>
      </c>
      <c r="W4" s="6">
        <v>166</v>
      </c>
      <c r="X4" s="6">
        <v>1</v>
      </c>
      <c r="Y4" s="9">
        <v>6</v>
      </c>
      <c r="Z4">
        <v>3</v>
      </c>
      <c r="AA4">
        <v>1.53</v>
      </c>
      <c r="AB4" t="s">
        <v>112</v>
      </c>
      <c r="AC4">
        <v>48</v>
      </c>
      <c r="AD4">
        <v>0.28999999999999998</v>
      </c>
      <c r="AE4">
        <v>0.33</v>
      </c>
      <c r="AF4">
        <v>0.9</v>
      </c>
      <c r="AG4">
        <v>1.8</v>
      </c>
      <c r="AI4">
        <v>0.5</v>
      </c>
      <c r="AJ4">
        <v>0.77</v>
      </c>
      <c r="AL4">
        <v>166</v>
      </c>
      <c r="AN4" s="4">
        <v>1</v>
      </c>
      <c r="AO4">
        <v>0.94</v>
      </c>
      <c r="AP4">
        <v>1990</v>
      </c>
      <c r="AW4" s="4">
        <v>1</v>
      </c>
      <c r="AX4">
        <v>0.93</v>
      </c>
      <c r="AY4">
        <v>1990</v>
      </c>
      <c r="BF4">
        <v>34</v>
      </c>
      <c r="BG4">
        <v>0.7</v>
      </c>
      <c r="BH4" t="s">
        <v>40</v>
      </c>
      <c r="BI4" t="s">
        <v>40</v>
      </c>
      <c r="BM4">
        <v>47</v>
      </c>
      <c r="BN4">
        <v>28</v>
      </c>
      <c r="BO4">
        <v>106</v>
      </c>
      <c r="BR4" t="s">
        <v>187</v>
      </c>
      <c r="BS4" t="s">
        <v>188</v>
      </c>
      <c r="BV4" t="s">
        <v>67</v>
      </c>
      <c r="BW4" t="s">
        <v>95</v>
      </c>
    </row>
    <row r="5" spans="1:77" x14ac:dyDescent="0.35">
      <c r="A5">
        <v>78</v>
      </c>
      <c r="B5" t="s">
        <v>100</v>
      </c>
      <c r="D5">
        <v>1991</v>
      </c>
      <c r="E5" t="s">
        <v>12</v>
      </c>
      <c r="F5" t="s">
        <v>271</v>
      </c>
      <c r="G5" s="1">
        <v>44642</v>
      </c>
      <c r="H5" s="13" t="s">
        <v>58</v>
      </c>
      <c r="I5">
        <v>98</v>
      </c>
      <c r="J5" s="13" t="s">
        <v>81</v>
      </c>
      <c r="K5">
        <v>296</v>
      </c>
      <c r="L5" s="4">
        <f t="shared" si="0"/>
        <v>3.0204081632653059</v>
      </c>
      <c r="N5">
        <v>22</v>
      </c>
      <c r="P5" s="6">
        <v>12450</v>
      </c>
      <c r="Q5" s="6">
        <v>2550</v>
      </c>
      <c r="R5" s="6">
        <v>4000</v>
      </c>
      <c r="S5" s="6">
        <v>19000</v>
      </c>
      <c r="T5" s="6">
        <f t="shared" si="1"/>
        <v>23680</v>
      </c>
      <c r="U5" s="22">
        <f t="shared" si="2"/>
        <v>-0.19763513513513509</v>
      </c>
      <c r="V5" t="s">
        <v>252</v>
      </c>
      <c r="W5" s="6">
        <v>160</v>
      </c>
      <c r="X5" s="6">
        <v>1</v>
      </c>
      <c r="Y5" s="9">
        <v>5.5</v>
      </c>
      <c r="Z5">
        <v>3</v>
      </c>
      <c r="AA5">
        <v>1.7</v>
      </c>
      <c r="AB5" t="s">
        <v>112</v>
      </c>
      <c r="AC5">
        <v>78</v>
      </c>
      <c r="AD5">
        <v>0.24</v>
      </c>
      <c r="AE5">
        <v>0.33</v>
      </c>
      <c r="AG5" s="18">
        <v>1.9</v>
      </c>
      <c r="AI5">
        <v>0.33</v>
      </c>
      <c r="AJ5">
        <v>0.81</v>
      </c>
      <c r="AL5">
        <v>160</v>
      </c>
      <c r="AN5" s="4">
        <v>1</v>
      </c>
      <c r="AO5">
        <v>0.96</v>
      </c>
      <c r="AP5">
        <v>1991</v>
      </c>
      <c r="AW5" s="4">
        <v>1</v>
      </c>
      <c r="AX5">
        <v>0.93</v>
      </c>
      <c r="AY5">
        <v>1991</v>
      </c>
      <c r="BF5">
        <v>30</v>
      </c>
      <c r="BG5">
        <v>0.7</v>
      </c>
      <c r="BH5" t="s">
        <v>83</v>
      </c>
      <c r="BM5">
        <v>58</v>
      </c>
      <c r="BN5">
        <v>46</v>
      </c>
      <c r="BO5">
        <v>116</v>
      </c>
      <c r="BQ5" t="s">
        <v>253</v>
      </c>
      <c r="BR5" t="s">
        <v>254</v>
      </c>
      <c r="BS5" t="s">
        <v>255</v>
      </c>
      <c r="BV5" t="s">
        <v>216</v>
      </c>
      <c r="BW5" t="s">
        <v>68</v>
      </c>
    </row>
    <row r="6" spans="1:77" x14ac:dyDescent="0.35">
      <c r="A6">
        <v>65</v>
      </c>
      <c r="B6" t="s">
        <v>172</v>
      </c>
      <c r="C6" t="s">
        <v>234</v>
      </c>
      <c r="D6">
        <v>1994</v>
      </c>
      <c r="E6" t="s">
        <v>12</v>
      </c>
      <c r="F6" t="s">
        <v>234</v>
      </c>
      <c r="G6" s="1">
        <v>43805</v>
      </c>
      <c r="H6" s="13" t="s">
        <v>58</v>
      </c>
      <c r="I6">
        <v>87</v>
      </c>
      <c r="J6" s="13" t="s">
        <v>59</v>
      </c>
      <c r="K6">
        <v>285</v>
      </c>
      <c r="L6" s="4">
        <f t="shared" si="0"/>
        <v>3.2758620689655173</v>
      </c>
      <c r="N6">
        <v>22</v>
      </c>
      <c r="P6" s="6">
        <v>12480</v>
      </c>
      <c r="Q6" s="6">
        <v>4160</v>
      </c>
      <c r="R6" s="6">
        <v>3900</v>
      </c>
      <c r="S6" s="6">
        <f>+SUM(P6:R6)</f>
        <v>20540</v>
      </c>
      <c r="T6" s="6">
        <f t="shared" si="1"/>
        <v>27930</v>
      </c>
      <c r="U6" s="22">
        <f t="shared" si="2"/>
        <v>-0.26459004654493379</v>
      </c>
      <c r="V6" t="s">
        <v>236</v>
      </c>
      <c r="W6" s="6">
        <v>196</v>
      </c>
      <c r="X6" s="6">
        <v>1</v>
      </c>
      <c r="Y6" s="9">
        <v>6</v>
      </c>
      <c r="Z6">
        <v>3</v>
      </c>
      <c r="AA6">
        <v>1.69</v>
      </c>
      <c r="AB6" t="s">
        <v>223</v>
      </c>
      <c r="AC6">
        <v>65</v>
      </c>
      <c r="AD6">
        <v>0.3</v>
      </c>
      <c r="AE6">
        <v>0.28999999999999998</v>
      </c>
      <c r="AG6">
        <v>1.1000000000000001</v>
      </c>
      <c r="AI6">
        <v>1.5</v>
      </c>
      <c r="AJ6">
        <v>0.54</v>
      </c>
      <c r="AL6">
        <v>196</v>
      </c>
      <c r="AN6" s="4">
        <v>1</v>
      </c>
      <c r="AO6">
        <v>0.96</v>
      </c>
      <c r="AP6">
        <v>1993</v>
      </c>
      <c r="AW6" s="4">
        <v>1</v>
      </c>
      <c r="AX6">
        <v>0.93</v>
      </c>
      <c r="AY6">
        <v>1993</v>
      </c>
      <c r="BF6">
        <v>28</v>
      </c>
      <c r="BG6">
        <v>0.7</v>
      </c>
      <c r="BH6" t="s">
        <v>40</v>
      </c>
      <c r="BM6">
        <v>56</v>
      </c>
      <c r="BN6">
        <v>4</v>
      </c>
      <c r="BO6">
        <v>115</v>
      </c>
      <c r="BP6" t="s">
        <v>65</v>
      </c>
      <c r="BR6" t="s">
        <v>136</v>
      </c>
      <c r="BS6" t="s">
        <v>161</v>
      </c>
      <c r="BU6" t="s">
        <v>216</v>
      </c>
      <c r="BW6" t="s">
        <v>95</v>
      </c>
    </row>
    <row r="7" spans="1:77" x14ac:dyDescent="0.35">
      <c r="A7">
        <v>66</v>
      </c>
      <c r="B7" t="s">
        <v>99</v>
      </c>
      <c r="C7" t="s">
        <v>235</v>
      </c>
      <c r="D7">
        <v>1994</v>
      </c>
      <c r="E7" t="s">
        <v>12</v>
      </c>
      <c r="F7" t="s">
        <v>234</v>
      </c>
      <c r="G7" s="1">
        <v>45733</v>
      </c>
      <c r="H7" s="13" t="s">
        <v>58</v>
      </c>
      <c r="I7">
        <v>81</v>
      </c>
      <c r="J7" s="13" t="s">
        <v>58</v>
      </c>
      <c r="K7">
        <v>166</v>
      </c>
      <c r="L7" s="4">
        <f t="shared" si="0"/>
        <v>2.0493827160493829</v>
      </c>
      <c r="M7" s="14" t="s">
        <v>13</v>
      </c>
      <c r="O7">
        <v>9</v>
      </c>
      <c r="P7" s="6">
        <v>9530</v>
      </c>
      <c r="R7" s="6">
        <v>5780</v>
      </c>
      <c r="S7" s="6">
        <f>+SUM(P7:R7)</f>
        <v>15310</v>
      </c>
      <c r="T7" s="6">
        <f t="shared" si="1"/>
        <v>15711.549295774648</v>
      </c>
      <c r="U7" s="22">
        <f t="shared" si="2"/>
        <v>-2.5557587492828437E-2</v>
      </c>
      <c r="V7" t="s">
        <v>236</v>
      </c>
      <c r="W7" s="6">
        <v>168</v>
      </c>
      <c r="X7" s="6">
        <v>1</v>
      </c>
      <c r="Y7" s="9">
        <v>6</v>
      </c>
      <c r="Z7">
        <v>3</v>
      </c>
      <c r="AA7">
        <v>1.7</v>
      </c>
      <c r="AB7" t="s">
        <v>223</v>
      </c>
      <c r="AC7">
        <v>66</v>
      </c>
      <c r="AD7">
        <v>0.32</v>
      </c>
      <c r="AE7">
        <v>0.31</v>
      </c>
      <c r="AF7">
        <v>2.5</v>
      </c>
      <c r="AG7">
        <v>1.1000000000000001</v>
      </c>
      <c r="AJ7">
        <v>0.56000000000000005</v>
      </c>
      <c r="AL7">
        <v>168</v>
      </c>
      <c r="AN7" s="4">
        <v>0.85</v>
      </c>
      <c r="AO7">
        <v>1</v>
      </c>
      <c r="AP7">
        <v>2023</v>
      </c>
      <c r="AT7" s="4">
        <v>0.15</v>
      </c>
      <c r="AU7">
        <v>0.66</v>
      </c>
      <c r="AV7">
        <v>1994</v>
      </c>
      <c r="AZ7">
        <v>100</v>
      </c>
      <c r="BA7">
        <v>3.9</v>
      </c>
      <c r="BB7">
        <v>2024</v>
      </c>
      <c r="BF7">
        <v>27</v>
      </c>
      <c r="BG7">
        <v>0.7</v>
      </c>
      <c r="BJ7">
        <v>3346</v>
      </c>
      <c r="BK7">
        <v>3346</v>
      </c>
    </row>
    <row r="8" spans="1:77" x14ac:dyDescent="0.35">
      <c r="A8">
        <v>61</v>
      </c>
      <c r="B8" t="s">
        <v>100</v>
      </c>
      <c r="C8" t="s">
        <v>222</v>
      </c>
      <c r="D8">
        <v>1988</v>
      </c>
      <c r="E8" t="s">
        <v>12</v>
      </c>
      <c r="F8" t="s">
        <v>222</v>
      </c>
      <c r="G8" s="1">
        <v>45546</v>
      </c>
      <c r="H8" s="13" t="s">
        <v>58</v>
      </c>
      <c r="I8">
        <v>85</v>
      </c>
      <c r="J8" s="13" t="s">
        <v>58</v>
      </c>
      <c r="K8">
        <v>172</v>
      </c>
      <c r="L8" s="4">
        <f t="shared" si="0"/>
        <v>2.0235294117647058</v>
      </c>
      <c r="M8" s="14" t="s">
        <v>13</v>
      </c>
      <c r="O8">
        <v>11</v>
      </c>
      <c r="P8" s="6">
        <v>9580</v>
      </c>
      <c r="Q8" s="6">
        <v>1140</v>
      </c>
      <c r="R8" s="6">
        <v>1860</v>
      </c>
      <c r="S8" s="6">
        <f>+SUM(P8:R8)</f>
        <v>12580</v>
      </c>
      <c r="T8" s="6">
        <f t="shared" si="1"/>
        <v>20664.310954063603</v>
      </c>
      <c r="U8" s="22">
        <f t="shared" si="2"/>
        <v>-0.39122093023255811</v>
      </c>
      <c r="V8" t="s">
        <v>60</v>
      </c>
      <c r="W8" s="6">
        <v>170</v>
      </c>
      <c r="X8" s="6">
        <v>1</v>
      </c>
      <c r="Y8" s="9">
        <v>5.5</v>
      </c>
      <c r="Z8">
        <v>3</v>
      </c>
      <c r="AA8">
        <v>1.71</v>
      </c>
      <c r="AB8" t="s">
        <v>223</v>
      </c>
      <c r="AC8">
        <v>61</v>
      </c>
      <c r="AD8">
        <v>0.4</v>
      </c>
      <c r="AE8">
        <v>0.45</v>
      </c>
      <c r="AG8">
        <v>1.1000000000000001</v>
      </c>
      <c r="AJ8">
        <v>0.6</v>
      </c>
      <c r="AL8">
        <v>170</v>
      </c>
      <c r="AN8" s="4">
        <v>0.61</v>
      </c>
      <c r="AO8">
        <v>0.94</v>
      </c>
      <c r="AP8">
        <v>1988</v>
      </c>
      <c r="AT8" s="4">
        <v>0.39</v>
      </c>
      <c r="AU8">
        <v>0.7</v>
      </c>
      <c r="AV8">
        <v>2007</v>
      </c>
      <c r="AW8" s="4">
        <v>1</v>
      </c>
      <c r="AX8">
        <v>0.93</v>
      </c>
      <c r="AY8">
        <v>1988</v>
      </c>
      <c r="BF8">
        <v>30</v>
      </c>
      <c r="BG8">
        <v>0.7</v>
      </c>
      <c r="BH8" t="s">
        <v>40</v>
      </c>
      <c r="BI8" t="s">
        <v>40</v>
      </c>
      <c r="BJ8">
        <v>5239</v>
      </c>
      <c r="BK8">
        <v>3007</v>
      </c>
      <c r="BM8">
        <v>49</v>
      </c>
      <c r="BN8">
        <v>34</v>
      </c>
      <c r="BO8">
        <v>108</v>
      </c>
      <c r="BQ8" t="s">
        <v>65</v>
      </c>
      <c r="BR8" t="s">
        <v>156</v>
      </c>
      <c r="BS8" t="s">
        <v>178</v>
      </c>
      <c r="BT8" t="s">
        <v>162</v>
      </c>
      <c r="BW8" t="s">
        <v>95</v>
      </c>
    </row>
    <row r="9" spans="1:77" x14ac:dyDescent="0.35">
      <c r="A9">
        <v>63</v>
      </c>
      <c r="B9" t="s">
        <v>99</v>
      </c>
      <c r="C9" t="s">
        <v>222</v>
      </c>
      <c r="D9">
        <v>1988</v>
      </c>
      <c r="E9" t="s">
        <v>12</v>
      </c>
      <c r="F9" t="s">
        <v>222</v>
      </c>
      <c r="G9" s="1">
        <v>45715</v>
      </c>
      <c r="H9" s="13" t="s">
        <v>59</v>
      </c>
      <c r="I9">
        <v>120</v>
      </c>
      <c r="J9" s="13" t="s">
        <v>59</v>
      </c>
      <c r="K9">
        <v>263</v>
      </c>
      <c r="L9" s="4">
        <f t="shared" si="0"/>
        <v>2.1916666666666669</v>
      </c>
      <c r="M9" s="14" t="s">
        <v>13</v>
      </c>
      <c r="O9">
        <v>16</v>
      </c>
      <c r="P9" s="23"/>
      <c r="Q9" s="23"/>
      <c r="R9" s="23"/>
      <c r="S9" s="6">
        <v>15670</v>
      </c>
      <c r="T9" s="6">
        <f t="shared" si="1"/>
        <v>35649.169435215947</v>
      </c>
      <c r="U9" s="22">
        <f t="shared" si="2"/>
        <v>-0.56043856706180573</v>
      </c>
      <c r="V9" t="s">
        <v>225</v>
      </c>
      <c r="W9" s="6">
        <v>204</v>
      </c>
      <c r="X9" s="6">
        <v>1</v>
      </c>
      <c r="Y9" s="9">
        <v>6</v>
      </c>
      <c r="Z9">
        <v>1</v>
      </c>
      <c r="AA9">
        <v>1.74</v>
      </c>
      <c r="AB9" t="s">
        <v>223</v>
      </c>
      <c r="AC9">
        <v>63</v>
      </c>
      <c r="AD9">
        <v>0.31</v>
      </c>
      <c r="AE9">
        <v>0.33</v>
      </c>
      <c r="AF9">
        <v>1.5</v>
      </c>
      <c r="AG9">
        <v>1.8</v>
      </c>
      <c r="AI9">
        <v>2.2999999999999998</v>
      </c>
      <c r="AJ9">
        <v>1.5</v>
      </c>
      <c r="AL9">
        <v>204</v>
      </c>
      <c r="AN9" s="4">
        <v>0.67</v>
      </c>
      <c r="AO9">
        <v>0.94</v>
      </c>
      <c r="AP9">
        <v>1988</v>
      </c>
      <c r="AT9" s="4">
        <v>0.33</v>
      </c>
      <c r="AU9">
        <v>0.64</v>
      </c>
      <c r="AV9">
        <v>1988</v>
      </c>
      <c r="AW9" s="4">
        <v>1</v>
      </c>
      <c r="AX9">
        <v>0.93</v>
      </c>
      <c r="AY9">
        <v>2023</v>
      </c>
      <c r="BF9">
        <v>40</v>
      </c>
      <c r="BG9">
        <v>0.7</v>
      </c>
      <c r="BH9" t="s">
        <v>40</v>
      </c>
      <c r="BI9" t="s">
        <v>40</v>
      </c>
      <c r="BJ9">
        <v>2340</v>
      </c>
      <c r="BK9">
        <v>2340</v>
      </c>
      <c r="BM9">
        <v>49</v>
      </c>
      <c r="BN9">
        <v>34</v>
      </c>
      <c r="BO9">
        <v>108</v>
      </c>
      <c r="BQ9" t="s">
        <v>65</v>
      </c>
      <c r="BR9" t="s">
        <v>156</v>
      </c>
      <c r="BS9" t="s">
        <v>178</v>
      </c>
      <c r="BU9" t="s">
        <v>216</v>
      </c>
      <c r="BW9" t="s">
        <v>95</v>
      </c>
    </row>
    <row r="10" spans="1:77" x14ac:dyDescent="0.35">
      <c r="A10">
        <v>27</v>
      </c>
      <c r="B10" t="s">
        <v>100</v>
      </c>
      <c r="C10" t="s">
        <v>151</v>
      </c>
      <c r="D10">
        <v>1985</v>
      </c>
      <c r="E10" t="s">
        <v>12</v>
      </c>
      <c r="F10" t="s">
        <v>262</v>
      </c>
      <c r="G10" s="1">
        <f>+DATE(2022,2,8)</f>
        <v>44600</v>
      </c>
      <c r="H10" s="13" t="s">
        <v>81</v>
      </c>
      <c r="I10">
        <v>143</v>
      </c>
      <c r="J10" s="13" t="s">
        <v>81</v>
      </c>
      <c r="K10">
        <v>308</v>
      </c>
      <c r="L10" s="4">
        <f t="shared" si="0"/>
        <v>2.1538461538461537</v>
      </c>
      <c r="O10">
        <v>22</v>
      </c>
      <c r="P10" s="6">
        <v>11660</v>
      </c>
      <c r="Q10" s="6">
        <v>2040</v>
      </c>
      <c r="R10" s="6">
        <v>2500</v>
      </c>
      <c r="S10" s="6">
        <f t="shared" ref="S10:S15" si="3">+SUM(P10:R10)</f>
        <v>16200</v>
      </c>
      <c r="T10" s="6">
        <f t="shared" si="1"/>
        <v>20451.2</v>
      </c>
      <c r="U10" s="22">
        <f t="shared" si="2"/>
        <v>-0.20787044281020184</v>
      </c>
      <c r="V10" t="s">
        <v>152</v>
      </c>
      <c r="W10" s="6">
        <v>166</v>
      </c>
      <c r="X10" s="6">
        <v>1</v>
      </c>
      <c r="Y10" s="9">
        <v>4.5</v>
      </c>
      <c r="Z10">
        <v>2</v>
      </c>
      <c r="AA10">
        <v>1.51</v>
      </c>
      <c r="AB10" t="s">
        <v>223</v>
      </c>
      <c r="AC10">
        <v>27</v>
      </c>
      <c r="AD10">
        <v>0.24</v>
      </c>
      <c r="AE10">
        <v>1.1000000000000001</v>
      </c>
      <c r="AG10">
        <v>1.5</v>
      </c>
      <c r="AJ10">
        <v>2.2000000000000002</v>
      </c>
      <c r="AL10">
        <v>166</v>
      </c>
      <c r="AN10" s="4">
        <v>1</v>
      </c>
      <c r="AO10">
        <v>0.94</v>
      </c>
      <c r="AP10">
        <v>1985</v>
      </c>
      <c r="AT10" s="4">
        <v>1</v>
      </c>
      <c r="AU10">
        <v>0.85</v>
      </c>
      <c r="AV10">
        <v>2015</v>
      </c>
      <c r="AW10" s="4">
        <v>1</v>
      </c>
      <c r="AX10">
        <v>0.83</v>
      </c>
      <c r="AY10">
        <v>2010</v>
      </c>
      <c r="BF10">
        <v>43</v>
      </c>
      <c r="BG10">
        <v>0.7</v>
      </c>
      <c r="BH10" t="s">
        <v>40</v>
      </c>
      <c r="BJ10">
        <v>6000</v>
      </c>
      <c r="BK10">
        <v>4200</v>
      </c>
      <c r="BM10">
        <v>53</v>
      </c>
      <c r="BN10">
        <v>42</v>
      </c>
      <c r="BO10">
        <v>111</v>
      </c>
      <c r="BQ10" t="s">
        <v>153</v>
      </c>
      <c r="BS10" t="s">
        <v>154</v>
      </c>
      <c r="BT10" t="s">
        <v>67</v>
      </c>
      <c r="BW10" t="s">
        <v>68</v>
      </c>
      <c r="BX10">
        <v>3</v>
      </c>
    </row>
    <row r="11" spans="1:77" x14ac:dyDescent="0.35">
      <c r="A11">
        <v>17</v>
      </c>
      <c r="B11" t="s">
        <v>100</v>
      </c>
      <c r="C11" t="s">
        <v>89</v>
      </c>
      <c r="D11">
        <v>1985</v>
      </c>
      <c r="E11" t="s">
        <v>12</v>
      </c>
      <c r="F11" t="s">
        <v>89</v>
      </c>
      <c r="G11" s="1">
        <f>+DATE(2010,10,7)</f>
        <v>40458</v>
      </c>
      <c r="H11" s="13" t="s">
        <v>6</v>
      </c>
      <c r="I11">
        <v>69</v>
      </c>
      <c r="J11" s="13" t="s">
        <v>59</v>
      </c>
      <c r="K11">
        <v>269</v>
      </c>
      <c r="L11" s="4">
        <f t="shared" si="0"/>
        <v>3.8985507246376812</v>
      </c>
      <c r="O11">
        <v>20</v>
      </c>
      <c r="P11" s="6">
        <v>16000</v>
      </c>
      <c r="R11" s="6">
        <v>3900</v>
      </c>
      <c r="S11" s="6">
        <f t="shared" si="3"/>
        <v>19900</v>
      </c>
      <c r="T11" s="6">
        <f t="shared" si="1"/>
        <v>24060.555555555555</v>
      </c>
      <c r="U11" s="22">
        <f t="shared" si="2"/>
        <v>-0.17292017825394257</v>
      </c>
      <c r="V11" t="s">
        <v>90</v>
      </c>
      <c r="W11" s="6">
        <v>161</v>
      </c>
      <c r="X11" s="6">
        <v>1</v>
      </c>
      <c r="Y11" s="9">
        <v>5.5</v>
      </c>
      <c r="Z11">
        <v>2</v>
      </c>
      <c r="AA11">
        <v>2.15</v>
      </c>
      <c r="AB11" t="s">
        <v>223</v>
      </c>
      <c r="AC11">
        <v>17</v>
      </c>
      <c r="AD11">
        <v>0.5</v>
      </c>
      <c r="AE11">
        <v>0.4</v>
      </c>
      <c r="AF11">
        <v>0.6</v>
      </c>
      <c r="AG11">
        <v>1.3</v>
      </c>
      <c r="AL11">
        <v>161</v>
      </c>
      <c r="AN11" s="4">
        <v>0.9</v>
      </c>
      <c r="AP11">
        <v>1985</v>
      </c>
      <c r="BP11" t="s">
        <v>65</v>
      </c>
      <c r="BQ11" t="s">
        <v>92</v>
      </c>
      <c r="BV11" t="s">
        <v>94</v>
      </c>
      <c r="BW11" t="s">
        <v>95</v>
      </c>
      <c r="BY11" t="s">
        <v>91</v>
      </c>
    </row>
    <row r="12" spans="1:77" x14ac:dyDescent="0.35">
      <c r="A12">
        <v>12</v>
      </c>
      <c r="B12" t="s">
        <v>100</v>
      </c>
      <c r="C12" t="s">
        <v>109</v>
      </c>
      <c r="D12">
        <v>1985</v>
      </c>
      <c r="E12" t="s">
        <v>12</v>
      </c>
      <c r="F12" t="s">
        <v>109</v>
      </c>
      <c r="G12" s="1">
        <f>+DATE(2023,2,14)</f>
        <v>44971</v>
      </c>
      <c r="H12" s="13" t="s">
        <v>58</v>
      </c>
      <c r="I12">
        <v>94</v>
      </c>
      <c r="J12" s="13" t="s">
        <v>6</v>
      </c>
      <c r="K12">
        <v>159</v>
      </c>
      <c r="L12" s="4">
        <f t="shared" si="0"/>
        <v>1.6914893617021276</v>
      </c>
      <c r="M12" s="14" t="s">
        <v>13</v>
      </c>
      <c r="O12">
        <v>10</v>
      </c>
      <c r="P12" s="6">
        <v>15900</v>
      </c>
      <c r="Q12" s="6">
        <v>800</v>
      </c>
      <c r="R12" s="6">
        <v>1080</v>
      </c>
      <c r="S12" s="6">
        <f t="shared" si="3"/>
        <v>17780</v>
      </c>
      <c r="T12" s="6">
        <f t="shared" si="1"/>
        <v>15432.352941176468</v>
      </c>
      <c r="U12" s="22">
        <f t="shared" si="2"/>
        <v>0.15212502382313708</v>
      </c>
      <c r="V12" t="s">
        <v>110</v>
      </c>
      <c r="W12" s="6">
        <v>165</v>
      </c>
      <c r="X12" s="6">
        <v>1</v>
      </c>
      <c r="Y12" s="9">
        <v>5.5</v>
      </c>
      <c r="Z12">
        <v>2</v>
      </c>
      <c r="AA12">
        <v>2.29</v>
      </c>
      <c r="AB12" t="s">
        <v>20</v>
      </c>
      <c r="AC12">
        <v>12</v>
      </c>
      <c r="AD12">
        <v>0.4</v>
      </c>
      <c r="AE12">
        <v>0.5</v>
      </c>
      <c r="AG12">
        <v>1.5</v>
      </c>
      <c r="AI12">
        <v>0.5</v>
      </c>
      <c r="AJ12">
        <v>0.4</v>
      </c>
      <c r="AL12" s="11">
        <f>+W12</f>
        <v>165</v>
      </c>
      <c r="AN12" s="4">
        <v>0.8</v>
      </c>
      <c r="AO12">
        <v>0.99</v>
      </c>
      <c r="AP12">
        <v>1985</v>
      </c>
      <c r="AT12" s="4">
        <v>0.2</v>
      </c>
      <c r="AU12">
        <v>0.7</v>
      </c>
      <c r="AV12">
        <v>2004</v>
      </c>
      <c r="AZ12" s="4">
        <v>1</v>
      </c>
      <c r="BA12">
        <v>3.9</v>
      </c>
      <c r="BB12">
        <v>2018</v>
      </c>
      <c r="BF12">
        <v>36</v>
      </c>
      <c r="BG12">
        <v>0.7</v>
      </c>
      <c r="BH12" t="s">
        <v>83</v>
      </c>
      <c r="BJ12">
        <v>12000</v>
      </c>
      <c r="BK12">
        <v>6240</v>
      </c>
      <c r="BM12">
        <v>50</v>
      </c>
      <c r="BN12">
        <v>50</v>
      </c>
      <c r="BO12">
        <v>109</v>
      </c>
      <c r="BQ12" t="s">
        <v>65</v>
      </c>
      <c r="BR12" t="s">
        <v>102</v>
      </c>
      <c r="BT12" t="s">
        <v>111</v>
      </c>
      <c r="BW12" t="s">
        <v>54</v>
      </c>
    </row>
    <row r="13" spans="1:77" x14ac:dyDescent="0.35">
      <c r="A13">
        <v>1</v>
      </c>
      <c r="B13" t="s">
        <v>100</v>
      </c>
      <c r="C13" t="s">
        <v>137</v>
      </c>
      <c r="D13">
        <v>1973</v>
      </c>
      <c r="E13" t="s">
        <v>12</v>
      </c>
      <c r="F13" t="s">
        <v>137</v>
      </c>
      <c r="G13" s="1">
        <f>+DATE(2023,2,2)</f>
        <v>44959</v>
      </c>
      <c r="H13" s="13" t="s">
        <v>6</v>
      </c>
      <c r="I13">
        <v>63</v>
      </c>
      <c r="J13" s="13" t="s">
        <v>59</v>
      </c>
      <c r="K13">
        <v>213</v>
      </c>
      <c r="L13" s="4">
        <f t="shared" si="0"/>
        <v>3.3809523809523809</v>
      </c>
      <c r="M13" s="14" t="s">
        <v>13</v>
      </c>
      <c r="O13">
        <v>13</v>
      </c>
      <c r="P13" s="6">
        <v>12540</v>
      </c>
      <c r="Q13" s="6">
        <v>4320</v>
      </c>
      <c r="R13" s="6">
        <v>3550</v>
      </c>
      <c r="S13" s="6">
        <f t="shared" si="3"/>
        <v>20410</v>
      </c>
      <c r="T13" s="6">
        <f t="shared" si="1"/>
        <v>21184.864864864863</v>
      </c>
      <c r="U13" s="22">
        <f t="shared" si="2"/>
        <v>-3.6576342110634763E-2</v>
      </c>
      <c r="V13" t="s">
        <v>189</v>
      </c>
      <c r="W13" s="6">
        <v>184</v>
      </c>
      <c r="X13" s="6">
        <v>1</v>
      </c>
      <c r="Y13" s="9">
        <v>6</v>
      </c>
      <c r="Z13">
        <v>2</v>
      </c>
      <c r="AA13">
        <v>2.08</v>
      </c>
      <c r="AB13" t="s">
        <v>20</v>
      </c>
      <c r="AC13">
        <v>1</v>
      </c>
      <c r="AD13">
        <v>0.22</v>
      </c>
      <c r="AE13">
        <v>0.35</v>
      </c>
      <c r="AF13">
        <v>0.6</v>
      </c>
      <c r="AG13">
        <v>1.3</v>
      </c>
      <c r="AJ13">
        <v>0.45</v>
      </c>
      <c r="AL13">
        <v>184</v>
      </c>
      <c r="AN13" s="4">
        <v>0.9</v>
      </c>
      <c r="AO13">
        <v>0.94</v>
      </c>
      <c r="AP13">
        <v>1973</v>
      </c>
      <c r="AT13" s="4">
        <v>0.1</v>
      </c>
      <c r="AU13">
        <v>0.69</v>
      </c>
      <c r="AV13">
        <v>1973</v>
      </c>
      <c r="AW13" s="4">
        <v>1</v>
      </c>
      <c r="AX13">
        <v>0.93</v>
      </c>
      <c r="AY13">
        <v>1973</v>
      </c>
      <c r="BF13">
        <v>26</v>
      </c>
      <c r="BG13">
        <v>0.7</v>
      </c>
      <c r="BH13" t="s">
        <v>40</v>
      </c>
      <c r="BI13" t="s">
        <v>40</v>
      </c>
      <c r="BM13">
        <v>47</v>
      </c>
      <c r="BN13">
        <v>47</v>
      </c>
      <c r="BO13">
        <v>108</v>
      </c>
      <c r="BQ13" t="s">
        <v>130</v>
      </c>
      <c r="BR13" t="s">
        <v>138</v>
      </c>
      <c r="BS13" t="s">
        <v>74</v>
      </c>
      <c r="BV13" t="s">
        <v>67</v>
      </c>
      <c r="BW13" t="s">
        <v>93</v>
      </c>
    </row>
    <row r="14" spans="1:77" x14ac:dyDescent="0.35">
      <c r="A14">
        <v>5</v>
      </c>
      <c r="B14" t="s">
        <v>100</v>
      </c>
      <c r="C14" t="s">
        <v>79</v>
      </c>
      <c r="D14">
        <v>1979</v>
      </c>
      <c r="E14" t="s">
        <v>12</v>
      </c>
      <c r="F14" t="s">
        <v>79</v>
      </c>
      <c r="G14" s="1">
        <f>+DATE(2021,3,7)</f>
        <v>44262</v>
      </c>
      <c r="H14" s="13" t="s">
        <v>81</v>
      </c>
      <c r="I14">
        <v>116</v>
      </c>
      <c r="J14" s="13" t="s">
        <v>80</v>
      </c>
      <c r="K14">
        <v>342</v>
      </c>
      <c r="L14" s="4">
        <f t="shared" si="0"/>
        <v>2.9482758620689653</v>
      </c>
      <c r="O14">
        <v>26</v>
      </c>
      <c r="P14" s="6">
        <v>2770</v>
      </c>
      <c r="Q14" s="6">
        <v>1850</v>
      </c>
      <c r="R14" s="6">
        <v>1500</v>
      </c>
      <c r="S14" s="6">
        <f t="shared" si="3"/>
        <v>6120</v>
      </c>
      <c r="T14" s="6">
        <f t="shared" si="1"/>
        <v>14877</v>
      </c>
      <c r="U14" s="22">
        <f t="shared" si="2"/>
        <v>-0.58862673926194797</v>
      </c>
      <c r="V14" t="s">
        <v>126</v>
      </c>
      <c r="W14" s="6">
        <v>87</v>
      </c>
      <c r="X14" s="6">
        <v>1</v>
      </c>
      <c r="Y14" s="9">
        <v>2.5</v>
      </c>
      <c r="Z14">
        <v>2</v>
      </c>
      <c r="AA14">
        <v>1.62</v>
      </c>
      <c r="AB14" t="s">
        <v>20</v>
      </c>
      <c r="AC14">
        <v>5</v>
      </c>
      <c r="AD14">
        <v>0.55000000000000004</v>
      </c>
      <c r="AE14">
        <v>0.45</v>
      </c>
      <c r="AF14">
        <v>0.6</v>
      </c>
      <c r="AG14">
        <v>2.9</v>
      </c>
      <c r="AI14">
        <v>0.6</v>
      </c>
      <c r="AJ14">
        <v>0.85</v>
      </c>
      <c r="AL14">
        <v>87</v>
      </c>
      <c r="AN14" s="4">
        <v>1</v>
      </c>
      <c r="AO14">
        <v>0.94</v>
      </c>
      <c r="AP14">
        <v>1979</v>
      </c>
      <c r="AW14" s="4">
        <v>1</v>
      </c>
      <c r="AX14">
        <v>0.93</v>
      </c>
      <c r="AY14">
        <v>1976</v>
      </c>
      <c r="BF14">
        <v>42</v>
      </c>
      <c r="BG14">
        <v>1</v>
      </c>
      <c r="BH14" t="s">
        <v>40</v>
      </c>
      <c r="BI14" t="s">
        <v>40</v>
      </c>
      <c r="BM14">
        <v>44</v>
      </c>
      <c r="BN14">
        <v>35</v>
      </c>
      <c r="BO14">
        <v>103</v>
      </c>
      <c r="BR14" t="s">
        <v>87</v>
      </c>
      <c r="BS14" t="s">
        <v>127</v>
      </c>
      <c r="BV14" t="s">
        <v>67</v>
      </c>
      <c r="BW14" t="s">
        <v>68</v>
      </c>
    </row>
    <row r="15" spans="1:77" x14ac:dyDescent="0.35">
      <c r="A15">
        <v>20</v>
      </c>
      <c r="B15" t="s">
        <v>100</v>
      </c>
      <c r="C15" t="s">
        <v>79</v>
      </c>
      <c r="D15">
        <v>1973</v>
      </c>
      <c r="E15" t="s">
        <v>12</v>
      </c>
      <c r="F15" t="s">
        <v>79</v>
      </c>
      <c r="G15" s="1">
        <f>+DATE(2023,4,23)</f>
        <v>45039</v>
      </c>
      <c r="H15" s="13" t="s">
        <v>80</v>
      </c>
      <c r="I15">
        <v>147</v>
      </c>
      <c r="J15" s="13" t="s">
        <v>81</v>
      </c>
      <c r="K15">
        <v>278</v>
      </c>
      <c r="L15" s="4">
        <f t="shared" si="0"/>
        <v>1.8911564625850341</v>
      </c>
      <c r="M15" s="14" t="s">
        <v>13</v>
      </c>
      <c r="O15">
        <v>16</v>
      </c>
      <c r="P15" s="6">
        <v>19330</v>
      </c>
      <c r="Q15" s="6">
        <v>1030</v>
      </c>
      <c r="R15" s="6">
        <v>1000</v>
      </c>
      <c r="S15" s="6">
        <f t="shared" si="3"/>
        <v>21360</v>
      </c>
      <c r="T15" s="6">
        <f t="shared" si="1"/>
        <v>28851.89189189189</v>
      </c>
      <c r="U15" s="22">
        <f t="shared" si="2"/>
        <v>-0.25966726618705027</v>
      </c>
      <c r="V15" t="s">
        <v>82</v>
      </c>
      <c r="W15" s="6">
        <v>192</v>
      </c>
      <c r="X15" s="6">
        <v>1</v>
      </c>
      <c r="Y15" s="9">
        <v>5.5</v>
      </c>
      <c r="Z15">
        <v>2</v>
      </c>
      <c r="AA15">
        <v>2.1</v>
      </c>
      <c r="AB15" t="s">
        <v>20</v>
      </c>
      <c r="AC15">
        <v>20</v>
      </c>
      <c r="AD15">
        <v>0.4</v>
      </c>
      <c r="AE15">
        <v>0.7</v>
      </c>
      <c r="AF15">
        <v>0.23</v>
      </c>
      <c r="AG15">
        <v>1</v>
      </c>
      <c r="AJ15">
        <v>1.5</v>
      </c>
      <c r="AL15">
        <v>192</v>
      </c>
      <c r="AN15" s="4">
        <v>0.9</v>
      </c>
      <c r="AO15">
        <v>1</v>
      </c>
      <c r="AP15">
        <v>1990</v>
      </c>
      <c r="AT15" s="4">
        <v>0.1</v>
      </c>
      <c r="AU15">
        <v>0.7</v>
      </c>
      <c r="AV15">
        <v>2008</v>
      </c>
      <c r="AZ15">
        <v>100</v>
      </c>
      <c r="BA15">
        <v>2.8</v>
      </c>
      <c r="BB15">
        <v>2016</v>
      </c>
      <c r="BF15">
        <v>47</v>
      </c>
      <c r="BG15">
        <v>0.7</v>
      </c>
      <c r="BH15" t="s">
        <v>83</v>
      </c>
      <c r="BJ15">
        <v>7177</v>
      </c>
      <c r="BK15">
        <v>4593</v>
      </c>
      <c r="BM15">
        <v>48</v>
      </c>
      <c r="BN15">
        <v>29</v>
      </c>
      <c r="BO15">
        <v>107</v>
      </c>
      <c r="BP15" t="s">
        <v>65</v>
      </c>
      <c r="BQ15" t="s">
        <v>74</v>
      </c>
      <c r="BR15" t="s">
        <v>66</v>
      </c>
      <c r="BS15" t="s">
        <v>84</v>
      </c>
      <c r="BT15" t="s">
        <v>67</v>
      </c>
      <c r="BU15" t="s">
        <v>78</v>
      </c>
      <c r="BW15" t="s">
        <v>77</v>
      </c>
      <c r="BY15" t="s">
        <v>85</v>
      </c>
    </row>
    <row r="16" spans="1:77" x14ac:dyDescent="0.35">
      <c r="A16">
        <v>64</v>
      </c>
      <c r="B16" t="s">
        <v>100</v>
      </c>
      <c r="C16" t="s">
        <v>226</v>
      </c>
      <c r="D16">
        <v>1977</v>
      </c>
      <c r="E16" t="s">
        <v>12</v>
      </c>
      <c r="F16" t="s">
        <v>226</v>
      </c>
      <c r="G16" s="1">
        <v>41662</v>
      </c>
      <c r="H16" s="13" t="s">
        <v>59</v>
      </c>
      <c r="I16">
        <v>115</v>
      </c>
      <c r="J16" s="13" t="s">
        <v>81</v>
      </c>
      <c r="K16">
        <v>289</v>
      </c>
      <c r="L16" s="4">
        <f t="shared" si="0"/>
        <v>2.5130434782608697</v>
      </c>
      <c r="N16">
        <v>22</v>
      </c>
      <c r="P16" s="6">
        <v>26931</v>
      </c>
      <c r="Q16" s="6">
        <v>3020</v>
      </c>
      <c r="R16" s="6">
        <v>4000</v>
      </c>
      <c r="S16" s="6">
        <v>15670</v>
      </c>
      <c r="T16" s="6">
        <f t="shared" si="1"/>
        <v>33668.5</v>
      </c>
      <c r="U16" s="22">
        <f t="shared" si="2"/>
        <v>-0.53457980010989503</v>
      </c>
      <c r="V16" t="s">
        <v>227</v>
      </c>
      <c r="W16" s="6">
        <v>233</v>
      </c>
      <c r="X16" s="6">
        <v>1</v>
      </c>
      <c r="Y16" s="9">
        <v>6</v>
      </c>
      <c r="Z16">
        <v>2</v>
      </c>
      <c r="AA16">
        <v>1.88</v>
      </c>
      <c r="AB16" t="s">
        <v>20</v>
      </c>
      <c r="AC16">
        <v>64</v>
      </c>
      <c r="AD16">
        <v>0.34</v>
      </c>
      <c r="AE16">
        <v>0.47</v>
      </c>
      <c r="AF16">
        <v>0.67</v>
      </c>
      <c r="AG16">
        <v>2.6</v>
      </c>
      <c r="AL16">
        <v>233</v>
      </c>
      <c r="AN16" s="4">
        <v>1</v>
      </c>
      <c r="AO16">
        <v>0.94</v>
      </c>
      <c r="AP16">
        <v>1977</v>
      </c>
      <c r="AW16" s="4">
        <v>1</v>
      </c>
      <c r="AX16">
        <v>0.93</v>
      </c>
      <c r="AY16">
        <v>1977</v>
      </c>
      <c r="BH16" t="s">
        <v>228</v>
      </c>
      <c r="BR16" t="s">
        <v>156</v>
      </c>
      <c r="BS16" t="s">
        <v>229</v>
      </c>
      <c r="BU16" t="s">
        <v>216</v>
      </c>
      <c r="BW16" t="s">
        <v>95</v>
      </c>
    </row>
    <row r="17" spans="1:77" x14ac:dyDescent="0.35">
      <c r="A17">
        <v>45</v>
      </c>
      <c r="B17" t="s">
        <v>100</v>
      </c>
      <c r="C17" t="s">
        <v>181</v>
      </c>
      <c r="D17">
        <v>1985</v>
      </c>
      <c r="E17" t="s">
        <v>12</v>
      </c>
      <c r="F17" t="s">
        <v>266</v>
      </c>
      <c r="G17" s="1">
        <f>+DATE(2019,4,5)</f>
        <v>43560</v>
      </c>
      <c r="H17" s="13" t="s">
        <v>6</v>
      </c>
      <c r="I17">
        <v>59</v>
      </c>
      <c r="J17" s="13" t="s">
        <v>58</v>
      </c>
      <c r="K17">
        <v>200</v>
      </c>
      <c r="L17" s="4">
        <f t="shared" si="0"/>
        <v>3.3898305084745761</v>
      </c>
      <c r="N17">
        <v>15</v>
      </c>
      <c r="P17" s="6">
        <v>9020</v>
      </c>
      <c r="Q17" s="6">
        <v>3010</v>
      </c>
      <c r="R17" s="6">
        <v>3000</v>
      </c>
      <c r="S17" s="6">
        <f t="shared" ref="S17:S40" si="4">+SUM(P17:R17)</f>
        <v>15030</v>
      </c>
      <c r="T17" s="6">
        <f t="shared" si="1"/>
        <v>14480</v>
      </c>
      <c r="U17" s="22">
        <f t="shared" si="2"/>
        <v>3.7983425414364724E-2</v>
      </c>
      <c r="V17" t="s">
        <v>197</v>
      </c>
      <c r="W17" s="6">
        <v>181</v>
      </c>
      <c r="X17" s="6">
        <v>1</v>
      </c>
      <c r="Y17" s="9">
        <v>5.5</v>
      </c>
      <c r="Z17">
        <v>2</v>
      </c>
      <c r="AA17">
        <v>2.08</v>
      </c>
      <c r="AB17" t="s">
        <v>20</v>
      </c>
      <c r="AC17">
        <v>45</v>
      </c>
      <c r="AD17">
        <v>0.3</v>
      </c>
      <c r="AE17">
        <v>0.28000000000000003</v>
      </c>
      <c r="AF17">
        <v>0.2</v>
      </c>
      <c r="AG17">
        <v>1.8</v>
      </c>
      <c r="AH17">
        <v>0.2</v>
      </c>
      <c r="AI17">
        <v>0.3</v>
      </c>
      <c r="AJ17">
        <v>0.2</v>
      </c>
      <c r="AL17">
        <v>181</v>
      </c>
      <c r="AN17" s="4">
        <v>1</v>
      </c>
      <c r="AO17">
        <v>0.94</v>
      </c>
      <c r="AP17">
        <v>1985</v>
      </c>
      <c r="AT17" s="4">
        <v>1</v>
      </c>
      <c r="AU17">
        <v>0.69</v>
      </c>
      <c r="AV17">
        <v>1985</v>
      </c>
      <c r="AW17" s="4">
        <v>1</v>
      </c>
      <c r="AX17">
        <v>0.93</v>
      </c>
      <c r="AY17">
        <v>1985</v>
      </c>
      <c r="BF17">
        <v>24</v>
      </c>
      <c r="BG17">
        <v>0.7</v>
      </c>
      <c r="BH17" t="s">
        <v>50</v>
      </c>
      <c r="BM17">
        <v>52</v>
      </c>
      <c r="BN17">
        <v>41</v>
      </c>
      <c r="BO17">
        <v>110</v>
      </c>
      <c r="BP17" t="s">
        <v>178</v>
      </c>
      <c r="BQ17" t="s">
        <v>182</v>
      </c>
      <c r="BR17" t="s">
        <v>183</v>
      </c>
      <c r="BU17" t="s">
        <v>67</v>
      </c>
      <c r="BW17" t="s">
        <v>95</v>
      </c>
    </row>
    <row r="18" spans="1:77" x14ac:dyDescent="0.35">
      <c r="A18">
        <v>58</v>
      </c>
      <c r="B18" t="s">
        <v>100</v>
      </c>
      <c r="C18" t="s">
        <v>211</v>
      </c>
      <c r="D18">
        <v>1987</v>
      </c>
      <c r="E18" t="s">
        <v>12</v>
      </c>
      <c r="F18" t="s">
        <v>211</v>
      </c>
      <c r="G18" s="1">
        <f>+DATE(2018,5,14)</f>
        <v>43234</v>
      </c>
      <c r="H18" s="13" t="s">
        <v>6</v>
      </c>
      <c r="I18">
        <v>64</v>
      </c>
      <c r="J18" s="13" t="s">
        <v>59</v>
      </c>
      <c r="K18">
        <v>258</v>
      </c>
      <c r="L18" s="4">
        <f t="shared" si="0"/>
        <v>4.03125</v>
      </c>
      <c r="O18">
        <v>20</v>
      </c>
      <c r="P18" s="6">
        <v>7080</v>
      </c>
      <c r="Q18" s="6">
        <v>2490</v>
      </c>
      <c r="R18" s="6">
        <v>4570</v>
      </c>
      <c r="S18" s="6">
        <f t="shared" si="4"/>
        <v>14140</v>
      </c>
      <c r="T18" s="6">
        <f t="shared" si="1"/>
        <v>15867</v>
      </c>
      <c r="U18" s="22">
        <f t="shared" si="2"/>
        <v>-0.10884225121320978</v>
      </c>
      <c r="V18" t="s">
        <v>212</v>
      </c>
      <c r="W18" s="6">
        <v>123</v>
      </c>
      <c r="X18" s="6">
        <v>1</v>
      </c>
      <c r="Y18" s="9">
        <v>6</v>
      </c>
      <c r="Z18">
        <v>2</v>
      </c>
      <c r="AA18">
        <v>1.77</v>
      </c>
      <c r="AB18" t="s">
        <v>20</v>
      </c>
      <c r="AC18">
        <v>58</v>
      </c>
      <c r="AD18">
        <v>0.41</v>
      </c>
      <c r="AE18">
        <v>0.34</v>
      </c>
      <c r="AF18">
        <v>0.3</v>
      </c>
      <c r="AG18">
        <v>0.95</v>
      </c>
      <c r="AJ18">
        <v>0.6</v>
      </c>
      <c r="AL18">
        <v>123</v>
      </c>
      <c r="AN18" s="4">
        <v>1</v>
      </c>
      <c r="AO18">
        <v>0.94</v>
      </c>
      <c r="AP18">
        <v>1987</v>
      </c>
      <c r="AW18" s="4">
        <v>1</v>
      </c>
      <c r="AX18">
        <v>0.93</v>
      </c>
      <c r="AY18">
        <v>1987</v>
      </c>
      <c r="BG18">
        <v>0.7</v>
      </c>
      <c r="BH18" t="s">
        <v>72</v>
      </c>
      <c r="BI18" t="s">
        <v>72</v>
      </c>
      <c r="BM18">
        <v>46</v>
      </c>
      <c r="BN18">
        <v>37</v>
      </c>
      <c r="BO18">
        <v>106</v>
      </c>
      <c r="BP18" t="s">
        <v>65</v>
      </c>
      <c r="BQ18" t="s">
        <v>213</v>
      </c>
      <c r="BR18" t="s">
        <v>136</v>
      </c>
      <c r="BS18" t="s">
        <v>214</v>
      </c>
      <c r="BW18" t="s">
        <v>215</v>
      </c>
    </row>
    <row r="19" spans="1:77" x14ac:dyDescent="0.35">
      <c r="A19">
        <v>6</v>
      </c>
      <c r="B19" t="s">
        <v>100</v>
      </c>
      <c r="C19" t="s">
        <v>122</v>
      </c>
      <c r="D19">
        <v>1973</v>
      </c>
      <c r="E19" t="s">
        <v>12</v>
      </c>
      <c r="F19" t="s">
        <v>122</v>
      </c>
      <c r="G19" s="1">
        <f>+DATE(2022,6,1)</f>
        <v>44713</v>
      </c>
      <c r="H19" s="13" t="s">
        <v>81</v>
      </c>
      <c r="I19">
        <v>126</v>
      </c>
      <c r="J19" s="13" t="s">
        <v>80</v>
      </c>
      <c r="K19">
        <v>392</v>
      </c>
      <c r="L19" s="4">
        <f t="shared" si="0"/>
        <v>3.1111111111111112</v>
      </c>
      <c r="O19">
        <v>30</v>
      </c>
      <c r="P19" s="6">
        <v>15480</v>
      </c>
      <c r="Q19" s="6">
        <v>990</v>
      </c>
      <c r="R19" s="6">
        <v>1600</v>
      </c>
      <c r="S19" s="6">
        <f t="shared" si="4"/>
        <v>18070</v>
      </c>
      <c r="T19" s="6">
        <f t="shared" si="1"/>
        <v>27048</v>
      </c>
      <c r="U19" s="22">
        <f t="shared" si="2"/>
        <v>-0.33192842354333041</v>
      </c>
      <c r="V19" t="s">
        <v>123</v>
      </c>
      <c r="W19" s="6">
        <v>138</v>
      </c>
      <c r="X19" s="6">
        <v>1</v>
      </c>
      <c r="Y19" s="9">
        <v>6</v>
      </c>
      <c r="Z19">
        <v>1</v>
      </c>
      <c r="AA19">
        <v>1.55</v>
      </c>
      <c r="AB19" t="s">
        <v>20</v>
      </c>
      <c r="AC19">
        <v>6</v>
      </c>
      <c r="AD19">
        <v>0.43</v>
      </c>
      <c r="AE19">
        <v>0.94</v>
      </c>
      <c r="AF19">
        <v>1.4</v>
      </c>
      <c r="AG19">
        <v>1.2</v>
      </c>
      <c r="AJ19">
        <v>1.2</v>
      </c>
      <c r="AL19">
        <v>138</v>
      </c>
      <c r="AN19" s="4">
        <v>1</v>
      </c>
      <c r="AO19">
        <v>0.87</v>
      </c>
      <c r="AP19">
        <v>1972</v>
      </c>
      <c r="AW19" s="4">
        <v>1</v>
      </c>
      <c r="AX19">
        <v>0.93</v>
      </c>
      <c r="AY19">
        <v>1993</v>
      </c>
      <c r="BF19">
        <v>42</v>
      </c>
      <c r="BG19">
        <v>0.7</v>
      </c>
      <c r="BH19" t="s">
        <v>61</v>
      </c>
      <c r="BM19">
        <v>43</v>
      </c>
      <c r="BN19">
        <v>34</v>
      </c>
      <c r="BO19">
        <v>102</v>
      </c>
      <c r="BQ19" t="s">
        <v>65</v>
      </c>
      <c r="BR19" t="s">
        <v>124</v>
      </c>
      <c r="BS19" t="s">
        <v>125</v>
      </c>
      <c r="BV19" t="s">
        <v>67</v>
      </c>
      <c r="BW19" t="s">
        <v>68</v>
      </c>
    </row>
    <row r="20" spans="1:77" x14ac:dyDescent="0.35">
      <c r="A20">
        <v>42</v>
      </c>
      <c r="B20" t="s">
        <v>100</v>
      </c>
      <c r="C20" t="s">
        <v>173</v>
      </c>
      <c r="D20">
        <v>1989</v>
      </c>
      <c r="E20" t="s">
        <v>12</v>
      </c>
      <c r="F20" t="s">
        <v>265</v>
      </c>
      <c r="G20" s="1">
        <f>+DATE(2023,9,25)</f>
        <v>45194</v>
      </c>
      <c r="H20" s="13" t="s">
        <v>58</v>
      </c>
      <c r="I20">
        <v>78</v>
      </c>
      <c r="J20" s="13" t="s">
        <v>58</v>
      </c>
      <c r="K20">
        <v>160</v>
      </c>
      <c r="L20" s="4">
        <f t="shared" si="0"/>
        <v>2.0512820512820511</v>
      </c>
      <c r="M20" s="14" t="s">
        <v>13</v>
      </c>
      <c r="O20">
        <v>10</v>
      </c>
      <c r="P20" s="6">
        <v>14400</v>
      </c>
      <c r="Q20" s="6">
        <v>3600</v>
      </c>
      <c r="R20" s="6">
        <v>18000</v>
      </c>
      <c r="S20" s="6">
        <f t="shared" si="4"/>
        <v>36000</v>
      </c>
      <c r="T20" s="6">
        <f t="shared" si="1"/>
        <v>11680</v>
      </c>
      <c r="U20" s="22">
        <f t="shared" si="2"/>
        <v>2.0821917808219177</v>
      </c>
      <c r="V20" t="s">
        <v>194</v>
      </c>
      <c r="W20" s="6">
        <v>146</v>
      </c>
      <c r="X20" s="6">
        <v>1</v>
      </c>
      <c r="Y20" s="9">
        <v>5.5</v>
      </c>
      <c r="Z20">
        <v>2</v>
      </c>
      <c r="AA20">
        <v>1.91</v>
      </c>
      <c r="AB20" t="s">
        <v>20</v>
      </c>
      <c r="AC20">
        <v>42</v>
      </c>
      <c r="AD20">
        <v>0.24</v>
      </c>
      <c r="AE20">
        <v>0.38</v>
      </c>
      <c r="AG20">
        <v>2.6</v>
      </c>
      <c r="AH20">
        <v>0.24</v>
      </c>
      <c r="AJ20">
        <v>0.85</v>
      </c>
      <c r="AL20">
        <v>146</v>
      </c>
      <c r="AN20" s="4">
        <v>1</v>
      </c>
      <c r="AO20">
        <v>0.94</v>
      </c>
      <c r="AP20">
        <v>1989</v>
      </c>
      <c r="AW20" s="4">
        <v>1</v>
      </c>
      <c r="AX20">
        <v>0.93</v>
      </c>
      <c r="AY20">
        <v>2020</v>
      </c>
      <c r="BF20">
        <v>35</v>
      </c>
      <c r="BG20">
        <v>0.7</v>
      </c>
      <c r="BJ20">
        <v>12600</v>
      </c>
      <c r="BK20">
        <v>6552</v>
      </c>
      <c r="BM20">
        <v>45</v>
      </c>
      <c r="BN20">
        <v>27</v>
      </c>
      <c r="BO20">
        <v>104</v>
      </c>
      <c r="BQ20" t="s">
        <v>174</v>
      </c>
      <c r="BR20" t="s">
        <v>87</v>
      </c>
      <c r="BS20" t="s">
        <v>175</v>
      </c>
      <c r="BT20" t="s">
        <v>67</v>
      </c>
      <c r="BV20" t="s">
        <v>67</v>
      </c>
      <c r="BW20" t="s">
        <v>68</v>
      </c>
    </row>
    <row r="21" spans="1:77" x14ac:dyDescent="0.35">
      <c r="A21">
        <v>55</v>
      </c>
      <c r="B21" t="s">
        <v>100</v>
      </c>
      <c r="C21" t="s">
        <v>173</v>
      </c>
      <c r="D21">
        <v>1989</v>
      </c>
      <c r="E21" t="s">
        <v>12</v>
      </c>
      <c r="F21" t="s">
        <v>265</v>
      </c>
      <c r="G21" s="1">
        <f>+DATE(2024,5,28)</f>
        <v>45440</v>
      </c>
      <c r="H21" s="13" t="s">
        <v>6</v>
      </c>
      <c r="I21">
        <v>66</v>
      </c>
      <c r="J21" s="13" t="s">
        <v>6</v>
      </c>
      <c r="K21">
        <v>134</v>
      </c>
      <c r="L21" s="4">
        <f t="shared" si="0"/>
        <v>2.0303030303030303</v>
      </c>
      <c r="M21" s="14" t="s">
        <v>13</v>
      </c>
      <c r="O21">
        <v>8</v>
      </c>
      <c r="P21" s="6">
        <v>14400</v>
      </c>
      <c r="Q21" s="6">
        <v>3600</v>
      </c>
      <c r="R21" s="6">
        <v>18000</v>
      </c>
      <c r="S21" s="6">
        <f t="shared" si="4"/>
        <v>36000</v>
      </c>
      <c r="T21" s="6">
        <f t="shared" si="1"/>
        <v>9782</v>
      </c>
      <c r="U21" s="22">
        <f t="shared" si="2"/>
        <v>2.6802289920261706</v>
      </c>
      <c r="V21" t="s">
        <v>194</v>
      </c>
      <c r="W21" s="6">
        <v>146</v>
      </c>
      <c r="X21" s="6">
        <v>1</v>
      </c>
      <c r="Y21" s="9">
        <v>5.5</v>
      </c>
      <c r="Z21">
        <v>2</v>
      </c>
      <c r="AA21">
        <v>1.91</v>
      </c>
      <c r="AB21" t="s">
        <v>20</v>
      </c>
      <c r="AC21">
        <v>55</v>
      </c>
      <c r="AD21">
        <v>0.24</v>
      </c>
      <c r="AE21">
        <v>0.38</v>
      </c>
      <c r="AG21">
        <v>0.89</v>
      </c>
      <c r="AH21">
        <v>0.24</v>
      </c>
      <c r="AJ21">
        <v>0.85</v>
      </c>
      <c r="AL21">
        <v>146</v>
      </c>
      <c r="AN21" s="4">
        <v>1</v>
      </c>
      <c r="AO21">
        <v>0.94</v>
      </c>
      <c r="AP21">
        <v>1989</v>
      </c>
      <c r="AW21" s="4">
        <v>1</v>
      </c>
      <c r="AX21">
        <v>0.93</v>
      </c>
      <c r="AY21">
        <v>2020</v>
      </c>
      <c r="BF21">
        <v>35</v>
      </c>
      <c r="BG21">
        <v>0.7</v>
      </c>
      <c r="BJ21">
        <v>12600</v>
      </c>
      <c r="BK21">
        <v>6552</v>
      </c>
      <c r="BM21">
        <v>45</v>
      </c>
      <c r="BN21">
        <v>27</v>
      </c>
      <c r="BO21">
        <v>104</v>
      </c>
      <c r="BP21" t="s">
        <v>65</v>
      </c>
      <c r="BQ21" t="s">
        <v>174</v>
      </c>
      <c r="BR21" t="s">
        <v>87</v>
      </c>
      <c r="BS21" t="s">
        <v>210</v>
      </c>
      <c r="BT21" t="s">
        <v>67</v>
      </c>
      <c r="BV21" t="s">
        <v>67</v>
      </c>
      <c r="BW21" t="s">
        <v>68</v>
      </c>
    </row>
    <row r="22" spans="1:77" x14ac:dyDescent="0.35">
      <c r="A22">
        <v>47</v>
      </c>
      <c r="B22" t="s">
        <v>99</v>
      </c>
      <c r="C22" t="s">
        <v>185</v>
      </c>
      <c r="D22">
        <v>1991</v>
      </c>
      <c r="E22" t="s">
        <v>12</v>
      </c>
      <c r="F22" t="s">
        <v>185</v>
      </c>
      <c r="G22" s="1">
        <f>+DATE(2023,6,30)</f>
        <v>45107</v>
      </c>
      <c r="H22" s="13" t="s">
        <v>58</v>
      </c>
      <c r="I22">
        <v>78</v>
      </c>
      <c r="J22" s="13" t="s">
        <v>59</v>
      </c>
      <c r="K22">
        <v>242</v>
      </c>
      <c r="L22" s="4">
        <f t="shared" si="0"/>
        <v>3.1025641025641026</v>
      </c>
      <c r="M22" s="14" t="s">
        <v>13</v>
      </c>
      <c r="O22">
        <v>16</v>
      </c>
      <c r="P22" s="6">
        <v>11000</v>
      </c>
      <c r="Q22" s="6">
        <v>3000</v>
      </c>
      <c r="S22" s="6">
        <f t="shared" si="4"/>
        <v>14000</v>
      </c>
      <c r="T22" s="6">
        <f t="shared" si="1"/>
        <v>22143</v>
      </c>
      <c r="U22" s="22">
        <f t="shared" si="2"/>
        <v>-0.36774601454184164</v>
      </c>
      <c r="V22" t="s">
        <v>199</v>
      </c>
      <c r="W22" s="6">
        <v>183</v>
      </c>
      <c r="X22" s="6">
        <v>1</v>
      </c>
      <c r="Z22">
        <v>2</v>
      </c>
      <c r="AA22">
        <v>2.54</v>
      </c>
      <c r="AB22" t="s">
        <v>20</v>
      </c>
      <c r="AC22">
        <v>47</v>
      </c>
      <c r="AD22">
        <v>0.3</v>
      </c>
      <c r="AE22">
        <v>0.35</v>
      </c>
      <c r="AF22">
        <v>0.85</v>
      </c>
      <c r="AG22">
        <v>1.8</v>
      </c>
      <c r="AH22">
        <v>0.3</v>
      </c>
      <c r="AI22">
        <v>0.35</v>
      </c>
      <c r="AJ22">
        <v>0.85</v>
      </c>
      <c r="AL22">
        <v>183</v>
      </c>
      <c r="AN22" s="4">
        <v>1</v>
      </c>
      <c r="AO22">
        <v>0.94</v>
      </c>
    </row>
    <row r="23" spans="1:77" x14ac:dyDescent="0.35">
      <c r="A23">
        <v>29</v>
      </c>
      <c r="B23" t="s">
        <v>100</v>
      </c>
      <c r="C23" t="s">
        <v>157</v>
      </c>
      <c r="D23">
        <v>1972</v>
      </c>
      <c r="E23" t="s">
        <v>12</v>
      </c>
      <c r="F23" t="s">
        <v>157</v>
      </c>
      <c r="G23" s="1">
        <f>+DATE(2022,9,26)</f>
        <v>44830</v>
      </c>
      <c r="H23" s="13" t="s">
        <v>6</v>
      </c>
      <c r="I23">
        <v>59</v>
      </c>
      <c r="J23" s="13" t="s">
        <v>6</v>
      </c>
      <c r="K23">
        <v>139</v>
      </c>
      <c r="L23" s="4">
        <f t="shared" si="0"/>
        <v>2.3559322033898304</v>
      </c>
      <c r="O23">
        <v>10</v>
      </c>
      <c r="P23" s="6">
        <v>6260</v>
      </c>
      <c r="Q23" s="6">
        <v>540</v>
      </c>
      <c r="R23" s="6">
        <v>4200</v>
      </c>
      <c r="S23" s="6">
        <f t="shared" si="4"/>
        <v>11000</v>
      </c>
      <c r="T23" s="6">
        <f t="shared" si="1"/>
        <v>14108.5</v>
      </c>
      <c r="U23" s="22">
        <f t="shared" si="2"/>
        <v>-0.22032817096076829</v>
      </c>
      <c r="V23" t="s">
        <v>191</v>
      </c>
      <c r="W23" s="6">
        <v>203</v>
      </c>
      <c r="X23" s="6">
        <v>1</v>
      </c>
      <c r="Y23" s="9">
        <v>6</v>
      </c>
      <c r="Z23">
        <v>1</v>
      </c>
      <c r="AA23">
        <v>1.78</v>
      </c>
      <c r="AB23" t="s">
        <v>20</v>
      </c>
      <c r="AC23">
        <v>29</v>
      </c>
      <c r="AD23">
        <v>0.17</v>
      </c>
      <c r="AE23">
        <v>0.13</v>
      </c>
      <c r="AF23">
        <v>1.3</v>
      </c>
      <c r="AG23">
        <v>1.2</v>
      </c>
      <c r="AI23">
        <v>0.3</v>
      </c>
      <c r="AJ23">
        <v>0.13</v>
      </c>
      <c r="AL23">
        <v>203</v>
      </c>
      <c r="AN23" s="4">
        <v>1</v>
      </c>
      <c r="AO23">
        <v>0.94</v>
      </c>
      <c r="AP23">
        <v>1973</v>
      </c>
      <c r="AZ23">
        <v>100</v>
      </c>
      <c r="BA23">
        <v>2.8</v>
      </c>
      <c r="BB23">
        <v>2020</v>
      </c>
      <c r="BF23">
        <v>27</v>
      </c>
      <c r="BG23">
        <v>0.7</v>
      </c>
      <c r="BH23" t="s">
        <v>83</v>
      </c>
      <c r="BI23" t="s">
        <v>40</v>
      </c>
      <c r="BJ23">
        <v>9000</v>
      </c>
      <c r="BK23">
        <v>4680</v>
      </c>
      <c r="BM23">
        <v>47</v>
      </c>
      <c r="BN23">
        <v>37</v>
      </c>
      <c r="BO23">
        <v>106</v>
      </c>
      <c r="BQ23" t="s">
        <v>159</v>
      </c>
      <c r="BS23" t="s">
        <v>74</v>
      </c>
      <c r="BT23" t="s">
        <v>106</v>
      </c>
      <c r="BW23" t="s">
        <v>54</v>
      </c>
      <c r="BX23">
        <v>2</v>
      </c>
    </row>
    <row r="24" spans="1:77" x14ac:dyDescent="0.35">
      <c r="A24">
        <v>10</v>
      </c>
      <c r="B24" t="s">
        <v>100</v>
      </c>
      <c r="C24" t="s">
        <v>114</v>
      </c>
      <c r="D24">
        <v>1981</v>
      </c>
      <c r="E24" t="s">
        <v>12</v>
      </c>
      <c r="F24" t="s">
        <v>114</v>
      </c>
      <c r="G24" s="1">
        <f>+DATE(2017,7,31)</f>
        <v>42947</v>
      </c>
      <c r="H24" s="13" t="s">
        <v>58</v>
      </c>
      <c r="I24">
        <v>69</v>
      </c>
      <c r="J24" s="13" t="s">
        <v>59</v>
      </c>
      <c r="K24">
        <v>208</v>
      </c>
      <c r="L24" s="4">
        <f t="shared" si="0"/>
        <v>3.0144927536231885</v>
      </c>
      <c r="O24">
        <v>16</v>
      </c>
      <c r="P24" s="6">
        <v>16650</v>
      </c>
      <c r="Q24" s="6">
        <v>1850</v>
      </c>
      <c r="R24" s="6">
        <v>2000</v>
      </c>
      <c r="S24" s="6">
        <f t="shared" si="4"/>
        <v>20500</v>
      </c>
      <c r="T24" s="6">
        <f t="shared" si="1"/>
        <v>24440</v>
      </c>
      <c r="U24" s="22">
        <f t="shared" si="2"/>
        <v>-0.16121112929623571</v>
      </c>
      <c r="V24" t="s">
        <v>190</v>
      </c>
      <c r="W24" s="6">
        <v>235</v>
      </c>
      <c r="X24" s="6">
        <v>1</v>
      </c>
      <c r="Y24" s="9">
        <v>6</v>
      </c>
      <c r="Z24">
        <v>3</v>
      </c>
      <c r="AA24">
        <v>1.45</v>
      </c>
      <c r="AB24" t="s">
        <v>20</v>
      </c>
      <c r="AC24">
        <v>10</v>
      </c>
      <c r="AD24">
        <v>0.54</v>
      </c>
      <c r="AE24">
        <v>0.5</v>
      </c>
      <c r="AG24">
        <v>0.91</v>
      </c>
      <c r="AJ24">
        <v>0.73</v>
      </c>
      <c r="AL24">
        <v>235</v>
      </c>
      <c r="AN24" s="4">
        <v>1</v>
      </c>
      <c r="AO24">
        <v>1</v>
      </c>
      <c r="AP24">
        <v>1981</v>
      </c>
      <c r="AW24" s="4">
        <v>1</v>
      </c>
      <c r="AX24">
        <v>1</v>
      </c>
      <c r="AY24">
        <v>2000</v>
      </c>
      <c r="BG24">
        <v>0.3</v>
      </c>
      <c r="BH24" t="s">
        <v>40</v>
      </c>
      <c r="BM24">
        <v>41</v>
      </c>
      <c r="BN24">
        <v>33</v>
      </c>
      <c r="BO24">
        <v>100</v>
      </c>
      <c r="BP24" t="s">
        <v>65</v>
      </c>
      <c r="BR24" t="s">
        <v>87</v>
      </c>
      <c r="BS24" t="s">
        <v>115</v>
      </c>
      <c r="BV24" t="s">
        <v>67</v>
      </c>
      <c r="BW24" t="s">
        <v>113</v>
      </c>
    </row>
    <row r="25" spans="1:77" x14ac:dyDescent="0.35">
      <c r="A25">
        <v>19</v>
      </c>
      <c r="B25" t="s">
        <v>99</v>
      </c>
      <c r="C25" t="s">
        <v>11</v>
      </c>
      <c r="D25">
        <v>1977</v>
      </c>
      <c r="E25" t="s">
        <v>12</v>
      </c>
      <c r="F25" t="s">
        <v>11</v>
      </c>
      <c r="G25" s="1">
        <v>45451</v>
      </c>
      <c r="H25" s="13" t="s">
        <v>6</v>
      </c>
      <c r="I25">
        <v>83</v>
      </c>
      <c r="J25" s="13" t="s">
        <v>6</v>
      </c>
      <c r="K25">
        <v>151</v>
      </c>
      <c r="L25" s="4">
        <f t="shared" si="0"/>
        <v>1.8192771084337349</v>
      </c>
      <c r="M25" s="14" t="s">
        <v>13</v>
      </c>
      <c r="O25">
        <v>9</v>
      </c>
      <c r="S25" s="6">
        <f t="shared" si="4"/>
        <v>0</v>
      </c>
      <c r="T25" s="6">
        <f t="shared" si="1"/>
        <v>21059.347181008903</v>
      </c>
      <c r="U25" s="22">
        <f t="shared" si="2"/>
        <v>-1</v>
      </c>
      <c r="V25" t="s">
        <v>230</v>
      </c>
      <c r="W25" s="6">
        <v>235</v>
      </c>
      <c r="X25" s="6">
        <v>1</v>
      </c>
      <c r="Y25" s="9">
        <v>6</v>
      </c>
      <c r="Z25">
        <v>2</v>
      </c>
      <c r="AA25">
        <v>2.65</v>
      </c>
      <c r="AB25" t="s">
        <v>20</v>
      </c>
      <c r="AC25">
        <v>19</v>
      </c>
      <c r="AD25">
        <v>0.14000000000000001</v>
      </c>
      <c r="AE25">
        <v>0.33</v>
      </c>
      <c r="AF25">
        <v>1</v>
      </c>
      <c r="AG25">
        <v>0.9</v>
      </c>
      <c r="AI25">
        <v>0.57999999999999996</v>
      </c>
      <c r="AL25">
        <v>235</v>
      </c>
      <c r="AN25" s="4">
        <v>0.79</v>
      </c>
      <c r="AO25">
        <v>0.94</v>
      </c>
      <c r="AP25">
        <v>1977</v>
      </c>
      <c r="AT25" s="4">
        <v>0.21</v>
      </c>
      <c r="AU25">
        <v>0.79</v>
      </c>
      <c r="AV25">
        <v>1977</v>
      </c>
      <c r="AZ25" s="4">
        <v>0.3</v>
      </c>
      <c r="BA25">
        <v>2.2999999999999998</v>
      </c>
      <c r="BB25">
        <v>2021</v>
      </c>
      <c r="BC25" s="4">
        <v>0.7</v>
      </c>
      <c r="BD25">
        <v>1</v>
      </c>
      <c r="BE25">
        <v>2005</v>
      </c>
      <c r="BF25">
        <v>32</v>
      </c>
      <c r="BG25">
        <v>0.7</v>
      </c>
      <c r="BH25" t="s">
        <v>40</v>
      </c>
      <c r="BI25" t="s">
        <v>40</v>
      </c>
      <c r="BJ25" s="24">
        <v>9000</v>
      </c>
      <c r="BK25" s="24">
        <v>4680</v>
      </c>
      <c r="BM25">
        <v>56</v>
      </c>
      <c r="BN25">
        <v>33</v>
      </c>
      <c r="BO25">
        <v>114</v>
      </c>
      <c r="BQ25" t="s">
        <v>231</v>
      </c>
      <c r="BR25" t="s">
        <v>87</v>
      </c>
      <c r="BS25" t="s">
        <v>232</v>
      </c>
      <c r="BT25" t="s">
        <v>233</v>
      </c>
      <c r="BW25" t="s">
        <v>77</v>
      </c>
    </row>
    <row r="26" spans="1:77" x14ac:dyDescent="0.35">
      <c r="A26">
        <v>31</v>
      </c>
      <c r="B26" t="s">
        <v>100</v>
      </c>
      <c r="C26" t="s">
        <v>164</v>
      </c>
      <c r="D26">
        <v>1982</v>
      </c>
      <c r="E26" t="s">
        <v>12</v>
      </c>
      <c r="F26" t="s">
        <v>263</v>
      </c>
      <c r="G26" s="1">
        <f>+DATE(2023,8,10)</f>
        <v>45148</v>
      </c>
      <c r="H26" s="13" t="s">
        <v>58</v>
      </c>
      <c r="I26">
        <v>67</v>
      </c>
      <c r="J26" s="13" t="s">
        <v>58</v>
      </c>
      <c r="K26">
        <v>194</v>
      </c>
      <c r="L26" s="4">
        <f t="shared" si="0"/>
        <v>2.8955223880597014</v>
      </c>
      <c r="M26" s="14" t="s">
        <v>13</v>
      </c>
      <c r="O26">
        <v>10</v>
      </c>
      <c r="P26" s="6">
        <v>12090</v>
      </c>
      <c r="Q26" s="6">
        <v>910</v>
      </c>
      <c r="R26" s="6">
        <v>3500</v>
      </c>
      <c r="S26" s="6">
        <f t="shared" si="4"/>
        <v>16500</v>
      </c>
      <c r="T26" s="6">
        <f t="shared" si="1"/>
        <v>20176</v>
      </c>
      <c r="U26" s="22">
        <f t="shared" si="2"/>
        <v>-0.18219666931007139</v>
      </c>
      <c r="V26" t="s">
        <v>163</v>
      </c>
      <c r="W26" s="6">
        <v>208</v>
      </c>
      <c r="X26" s="6">
        <v>1</v>
      </c>
      <c r="Y26" s="9">
        <v>5.5</v>
      </c>
      <c r="Z26">
        <v>3</v>
      </c>
      <c r="AA26">
        <v>1.55</v>
      </c>
      <c r="AB26" t="s">
        <v>20</v>
      </c>
      <c r="AC26">
        <v>31</v>
      </c>
      <c r="AD26">
        <v>0.43</v>
      </c>
      <c r="AE26">
        <v>0.36</v>
      </c>
      <c r="AG26">
        <v>1.3</v>
      </c>
      <c r="AI26">
        <v>2.2000000000000002</v>
      </c>
      <c r="AJ26" s="16">
        <v>0.54</v>
      </c>
      <c r="AL26">
        <v>208</v>
      </c>
      <c r="AN26" s="4">
        <v>1</v>
      </c>
      <c r="AO26">
        <v>0.94</v>
      </c>
      <c r="AP26">
        <v>1982</v>
      </c>
      <c r="AZ26" s="4">
        <v>1</v>
      </c>
      <c r="BA26">
        <v>2.8</v>
      </c>
      <c r="BB26">
        <v>2017</v>
      </c>
      <c r="BF26">
        <v>27</v>
      </c>
      <c r="BG26">
        <v>0.7</v>
      </c>
      <c r="BH26" t="s">
        <v>40</v>
      </c>
      <c r="BI26" t="s">
        <v>40</v>
      </c>
      <c r="BM26">
        <v>39</v>
      </c>
      <c r="BN26">
        <v>24</v>
      </c>
      <c r="BO26">
        <v>99</v>
      </c>
      <c r="BQ26" t="s">
        <v>65</v>
      </c>
      <c r="BR26" t="s">
        <v>136</v>
      </c>
      <c r="BS26" t="s">
        <v>161</v>
      </c>
      <c r="BT26" t="s">
        <v>67</v>
      </c>
      <c r="BU26" t="s">
        <v>78</v>
      </c>
      <c r="BW26" t="s">
        <v>54</v>
      </c>
      <c r="BX26">
        <v>2</v>
      </c>
    </row>
    <row r="27" spans="1:77" x14ac:dyDescent="0.35">
      <c r="A27">
        <v>15</v>
      </c>
      <c r="B27" t="s">
        <v>100</v>
      </c>
      <c r="C27" t="s">
        <v>69</v>
      </c>
      <c r="D27">
        <v>1985</v>
      </c>
      <c r="E27" t="s">
        <v>12</v>
      </c>
      <c r="F27" t="s">
        <v>69</v>
      </c>
      <c r="G27" s="1">
        <f>+DATE(2019,10,10)</f>
        <v>43748</v>
      </c>
      <c r="H27" s="13" t="s">
        <v>58</v>
      </c>
      <c r="I27">
        <v>69</v>
      </c>
      <c r="J27" s="13" t="s">
        <v>59</v>
      </c>
      <c r="K27">
        <v>228</v>
      </c>
      <c r="L27" s="4">
        <f t="shared" si="0"/>
        <v>3.3043478260869565</v>
      </c>
      <c r="O27">
        <v>18</v>
      </c>
      <c r="P27" s="6">
        <v>5600</v>
      </c>
      <c r="Q27" s="6">
        <v>1400</v>
      </c>
      <c r="R27" s="6">
        <v>3500</v>
      </c>
      <c r="S27" s="6">
        <f t="shared" si="4"/>
        <v>10500</v>
      </c>
      <c r="T27" s="6">
        <f t="shared" si="1"/>
        <v>18696</v>
      </c>
      <c r="U27" s="22">
        <f t="shared" si="2"/>
        <v>-0.43838254172015401</v>
      </c>
      <c r="V27" t="s">
        <v>101</v>
      </c>
      <c r="W27" s="6">
        <v>164</v>
      </c>
      <c r="X27" s="6">
        <v>1</v>
      </c>
      <c r="Y27" s="9">
        <v>5.5</v>
      </c>
      <c r="Z27">
        <v>2</v>
      </c>
      <c r="AA27">
        <v>1.53</v>
      </c>
      <c r="AB27" t="s">
        <v>20</v>
      </c>
      <c r="AC27">
        <v>15</v>
      </c>
      <c r="AD27">
        <v>0.4</v>
      </c>
      <c r="AE27">
        <v>0.5</v>
      </c>
      <c r="AF27">
        <v>0.47</v>
      </c>
      <c r="AG27">
        <v>1</v>
      </c>
      <c r="AJ27">
        <v>0.5</v>
      </c>
      <c r="AL27">
        <v>164</v>
      </c>
      <c r="AN27" s="4">
        <v>1</v>
      </c>
      <c r="AO27">
        <v>1</v>
      </c>
      <c r="AP27">
        <v>2006</v>
      </c>
      <c r="AW27" s="4">
        <v>1</v>
      </c>
      <c r="AX27">
        <v>0.93</v>
      </c>
      <c r="AY27">
        <v>1985</v>
      </c>
      <c r="BF27">
        <v>28</v>
      </c>
      <c r="BG27">
        <v>0.7</v>
      </c>
      <c r="BH27" t="s">
        <v>83</v>
      </c>
      <c r="BM27">
        <v>42</v>
      </c>
      <c r="BN27">
        <v>34</v>
      </c>
      <c r="BO27">
        <v>102</v>
      </c>
      <c r="BP27" t="s">
        <v>65</v>
      </c>
      <c r="BR27" s="14" t="s">
        <v>102</v>
      </c>
      <c r="BV27" t="s">
        <v>67</v>
      </c>
      <c r="BW27" t="s">
        <v>95</v>
      </c>
    </row>
    <row r="28" spans="1:77" x14ac:dyDescent="0.35">
      <c r="A28">
        <v>24</v>
      </c>
      <c r="B28" t="s">
        <v>100</v>
      </c>
      <c r="C28" t="s">
        <v>69</v>
      </c>
      <c r="D28">
        <v>1987</v>
      </c>
      <c r="E28" t="s">
        <v>12</v>
      </c>
      <c r="F28" t="s">
        <v>69</v>
      </c>
      <c r="G28" s="1">
        <f>+DATE(2022,9,17)</f>
        <v>44821</v>
      </c>
      <c r="H28" s="13" t="s">
        <v>6</v>
      </c>
      <c r="I28">
        <v>57</v>
      </c>
      <c r="J28" s="13" t="s">
        <v>58</v>
      </c>
      <c r="K28">
        <v>184</v>
      </c>
      <c r="L28" s="4">
        <f t="shared" si="0"/>
        <v>3.2280701754385963</v>
      </c>
      <c r="O28">
        <v>13</v>
      </c>
      <c r="P28" s="6">
        <v>11530</v>
      </c>
      <c r="Q28" s="6">
        <v>1310</v>
      </c>
      <c r="R28" s="6">
        <v>6100</v>
      </c>
      <c r="S28" s="6">
        <f t="shared" si="4"/>
        <v>18940</v>
      </c>
      <c r="T28" s="6">
        <f t="shared" si="1"/>
        <v>20516</v>
      </c>
      <c r="U28" s="22">
        <f t="shared" si="2"/>
        <v>-7.681809319555466E-2</v>
      </c>
      <c r="V28" t="s">
        <v>70</v>
      </c>
      <c r="W28" s="6">
        <v>223</v>
      </c>
      <c r="X28" s="6">
        <v>2</v>
      </c>
      <c r="Y28" s="9">
        <v>4.5</v>
      </c>
      <c r="Z28">
        <v>1</v>
      </c>
      <c r="AA28">
        <v>1.93</v>
      </c>
      <c r="AB28" t="s">
        <v>20</v>
      </c>
      <c r="AC28">
        <v>24</v>
      </c>
      <c r="AD28">
        <v>0.23</v>
      </c>
      <c r="AE28">
        <v>0.22</v>
      </c>
      <c r="AF28">
        <v>0.5</v>
      </c>
      <c r="AG28">
        <v>1.4</v>
      </c>
      <c r="AH28">
        <v>0.24</v>
      </c>
      <c r="AI28">
        <v>0.24</v>
      </c>
      <c r="AJ28">
        <v>0.65</v>
      </c>
      <c r="AL28">
        <f>+W28</f>
        <v>223</v>
      </c>
      <c r="AN28" s="4">
        <v>1</v>
      </c>
      <c r="AO28">
        <v>0.94</v>
      </c>
      <c r="AP28">
        <v>1987</v>
      </c>
      <c r="AU28">
        <v>0.75</v>
      </c>
      <c r="AV28">
        <v>2010</v>
      </c>
      <c r="AW28" s="4">
        <v>0.31</v>
      </c>
      <c r="AX28">
        <v>0.93</v>
      </c>
      <c r="AY28">
        <v>2010</v>
      </c>
      <c r="BC28">
        <v>0.69</v>
      </c>
      <c r="BD28">
        <v>0.6</v>
      </c>
      <c r="BE28">
        <v>2009</v>
      </c>
      <c r="BF28">
        <v>25</v>
      </c>
      <c r="BG28">
        <v>0.7</v>
      </c>
      <c r="BH28" t="s">
        <v>71</v>
      </c>
      <c r="BI28" t="s">
        <v>72</v>
      </c>
      <c r="BM28">
        <v>49</v>
      </c>
      <c r="BN28">
        <v>39</v>
      </c>
      <c r="BO28">
        <v>108</v>
      </c>
      <c r="BQ28" t="s">
        <v>73</v>
      </c>
      <c r="BR28" t="s">
        <v>74</v>
      </c>
      <c r="BS28" t="s">
        <v>75</v>
      </c>
      <c r="BU28" t="s">
        <v>76</v>
      </c>
      <c r="BV28" t="s">
        <v>64</v>
      </c>
      <c r="BW28" t="s">
        <v>77</v>
      </c>
      <c r="BX28">
        <v>3</v>
      </c>
      <c r="BY28" t="s">
        <v>57</v>
      </c>
    </row>
    <row r="29" spans="1:77" x14ac:dyDescent="0.35">
      <c r="A29">
        <v>44</v>
      </c>
      <c r="B29" t="s">
        <v>100</v>
      </c>
      <c r="C29" t="s">
        <v>179</v>
      </c>
      <c r="D29">
        <v>1980</v>
      </c>
      <c r="E29" t="s">
        <v>12</v>
      </c>
      <c r="F29" t="s">
        <v>179</v>
      </c>
      <c r="G29" s="1">
        <f>+DATE(2021,12,18)</f>
        <v>44548</v>
      </c>
      <c r="H29" s="13" t="s">
        <v>58</v>
      </c>
      <c r="I29">
        <v>79</v>
      </c>
      <c r="J29" s="13" t="s">
        <v>59</v>
      </c>
      <c r="K29">
        <v>252</v>
      </c>
      <c r="L29" s="4">
        <f t="shared" si="0"/>
        <v>3.1898734177215191</v>
      </c>
      <c r="N29">
        <v>19</v>
      </c>
      <c r="P29" s="6">
        <v>19520</v>
      </c>
      <c r="Q29" s="6">
        <v>4880</v>
      </c>
      <c r="R29" s="6">
        <v>6800</v>
      </c>
      <c r="S29" s="6">
        <f t="shared" si="4"/>
        <v>31200</v>
      </c>
      <c r="T29" s="6">
        <f t="shared" si="1"/>
        <v>40446</v>
      </c>
      <c r="U29" s="22">
        <f t="shared" si="2"/>
        <v>-0.22860109775997628</v>
      </c>
      <c r="V29" s="17" t="s">
        <v>196</v>
      </c>
      <c r="W29" s="6">
        <v>321</v>
      </c>
      <c r="X29" s="6">
        <v>2</v>
      </c>
      <c r="Y29" s="9">
        <v>4.5</v>
      </c>
      <c r="Z29">
        <v>3</v>
      </c>
      <c r="AA29">
        <v>1.84</v>
      </c>
      <c r="AB29" t="s">
        <v>20</v>
      </c>
      <c r="AC29">
        <v>44</v>
      </c>
      <c r="AD29">
        <v>0.32</v>
      </c>
      <c r="AE29">
        <v>0.4</v>
      </c>
      <c r="AF29">
        <v>0.39</v>
      </c>
      <c r="AG29">
        <v>2.4</v>
      </c>
      <c r="AH29">
        <v>0.5</v>
      </c>
      <c r="AI29">
        <v>0.4</v>
      </c>
      <c r="AL29">
        <v>321</v>
      </c>
      <c r="AN29" s="4">
        <v>1</v>
      </c>
      <c r="AO29">
        <v>0.94</v>
      </c>
      <c r="AP29">
        <v>1980</v>
      </c>
      <c r="AW29" s="4">
        <v>1</v>
      </c>
      <c r="AX29">
        <v>0.93</v>
      </c>
      <c r="AY29">
        <v>1980</v>
      </c>
      <c r="BF29">
        <v>34</v>
      </c>
      <c r="BG29">
        <v>0.7</v>
      </c>
      <c r="BH29" t="s">
        <v>83</v>
      </c>
      <c r="BI29" t="s">
        <v>83</v>
      </c>
      <c r="BM29">
        <v>48</v>
      </c>
      <c r="BN29">
        <v>38</v>
      </c>
      <c r="BO29">
        <v>107</v>
      </c>
      <c r="BR29" t="s">
        <v>180</v>
      </c>
      <c r="BS29" t="s">
        <v>65</v>
      </c>
      <c r="BV29" t="s">
        <v>67</v>
      </c>
      <c r="BW29" t="s">
        <v>95</v>
      </c>
    </row>
    <row r="30" spans="1:77" x14ac:dyDescent="0.35">
      <c r="A30">
        <v>3</v>
      </c>
      <c r="B30" t="s">
        <v>100</v>
      </c>
      <c r="C30" t="s">
        <v>132</v>
      </c>
      <c r="D30">
        <v>1983</v>
      </c>
      <c r="E30" t="s">
        <v>12</v>
      </c>
      <c r="F30" t="s">
        <v>132</v>
      </c>
      <c r="G30" s="1">
        <f>+DATE(2020,4,27)</f>
        <v>43948</v>
      </c>
      <c r="H30" s="13" t="s">
        <v>6</v>
      </c>
      <c r="I30">
        <v>69</v>
      </c>
      <c r="J30" s="13" t="s">
        <v>58</v>
      </c>
      <c r="K30">
        <v>211</v>
      </c>
      <c r="L30" s="4">
        <f t="shared" si="0"/>
        <v>3.0579710144927534</v>
      </c>
      <c r="O30">
        <v>16</v>
      </c>
      <c r="P30" s="6">
        <v>11200</v>
      </c>
      <c r="Q30" s="6">
        <v>2800</v>
      </c>
      <c r="R30" s="6">
        <v>3500</v>
      </c>
      <c r="S30" s="6">
        <f t="shared" si="4"/>
        <v>17500</v>
      </c>
      <c r="T30" s="6">
        <f t="shared" si="1"/>
        <v>28063</v>
      </c>
      <c r="U30" s="22">
        <f t="shared" si="2"/>
        <v>-0.37640309304065855</v>
      </c>
      <c r="V30" t="s">
        <v>133</v>
      </c>
      <c r="W30" s="6">
        <v>266</v>
      </c>
      <c r="X30" s="6">
        <v>2</v>
      </c>
      <c r="Y30" s="9">
        <v>3.5</v>
      </c>
      <c r="Z30">
        <v>3</v>
      </c>
      <c r="AA30">
        <v>1.81</v>
      </c>
      <c r="AB30" t="s">
        <v>20</v>
      </c>
      <c r="AC30">
        <v>3</v>
      </c>
      <c r="AD30">
        <v>0.36</v>
      </c>
      <c r="AE30">
        <v>0.28999999999999998</v>
      </c>
      <c r="AF30">
        <v>0.68</v>
      </c>
      <c r="AG30">
        <v>1.2</v>
      </c>
      <c r="AI30">
        <v>1.9</v>
      </c>
      <c r="AJ30">
        <v>0.52</v>
      </c>
      <c r="AL30">
        <v>266</v>
      </c>
      <c r="AN30" s="4">
        <v>1</v>
      </c>
      <c r="AO30">
        <v>1</v>
      </c>
      <c r="AP30">
        <v>2011</v>
      </c>
      <c r="AW30" s="4">
        <v>1</v>
      </c>
      <c r="AX30">
        <v>0.93</v>
      </c>
      <c r="AY30">
        <v>2011</v>
      </c>
      <c r="BF30">
        <v>29</v>
      </c>
      <c r="BG30">
        <v>0.7</v>
      </c>
      <c r="BH30" t="s">
        <v>134</v>
      </c>
      <c r="BM30">
        <v>47</v>
      </c>
      <c r="BN30">
        <v>38</v>
      </c>
      <c r="BO30">
        <v>106</v>
      </c>
      <c r="BQ30" t="s">
        <v>65</v>
      </c>
      <c r="BR30" t="s">
        <v>136</v>
      </c>
      <c r="BS30" t="s">
        <v>135</v>
      </c>
      <c r="BV30" t="s">
        <v>67</v>
      </c>
      <c r="BW30" t="s">
        <v>93</v>
      </c>
    </row>
    <row r="31" spans="1:77" x14ac:dyDescent="0.35">
      <c r="A31">
        <v>37</v>
      </c>
      <c r="B31" t="s">
        <v>100</v>
      </c>
      <c r="C31" t="s">
        <v>166</v>
      </c>
      <c r="D31">
        <v>1982</v>
      </c>
      <c r="E31" t="s">
        <v>12</v>
      </c>
      <c r="F31" t="s">
        <v>264</v>
      </c>
      <c r="G31" s="1">
        <f>+DATE(2023,9,14)</f>
        <v>45183</v>
      </c>
      <c r="H31" s="13" t="s">
        <v>59</v>
      </c>
      <c r="I31">
        <v>87</v>
      </c>
      <c r="J31" s="13" t="s">
        <v>58</v>
      </c>
      <c r="K31">
        <v>168</v>
      </c>
      <c r="L31" s="4">
        <f t="shared" si="0"/>
        <v>1.9310344827586208</v>
      </c>
      <c r="M31" s="14" t="s">
        <v>13</v>
      </c>
      <c r="O31">
        <v>11</v>
      </c>
      <c r="P31" s="6">
        <v>15030</v>
      </c>
      <c r="Q31" s="6">
        <v>1000</v>
      </c>
      <c r="R31" s="6">
        <v>1700</v>
      </c>
      <c r="S31" s="6">
        <f t="shared" si="4"/>
        <v>17730</v>
      </c>
      <c r="T31" s="6">
        <f t="shared" si="1"/>
        <v>18676.36363636364</v>
      </c>
      <c r="U31" s="22">
        <f t="shared" si="2"/>
        <v>-5.0671728971962815E-2</v>
      </c>
      <c r="V31" t="s">
        <v>193</v>
      </c>
      <c r="W31" s="6">
        <v>214</v>
      </c>
      <c r="X31" s="6">
        <v>1</v>
      </c>
      <c r="Y31" s="9">
        <v>6</v>
      </c>
      <c r="Z31">
        <v>3</v>
      </c>
      <c r="AA31">
        <v>1.49</v>
      </c>
      <c r="AB31" t="s">
        <v>20</v>
      </c>
      <c r="AC31">
        <v>37</v>
      </c>
      <c r="AD31">
        <v>0.34</v>
      </c>
      <c r="AE31">
        <v>0.43</v>
      </c>
      <c r="AG31">
        <v>2.2999999999999998</v>
      </c>
      <c r="AI31">
        <v>1.9</v>
      </c>
      <c r="AJ31">
        <v>0.86</v>
      </c>
      <c r="AL31">
        <v>214</v>
      </c>
      <c r="AN31" s="4">
        <v>0.95</v>
      </c>
      <c r="AO31">
        <v>0.94</v>
      </c>
      <c r="AP31">
        <v>1982</v>
      </c>
      <c r="AT31" s="4">
        <v>0.05</v>
      </c>
      <c r="AU31">
        <v>0.69</v>
      </c>
      <c r="AV31">
        <v>1982</v>
      </c>
      <c r="AZ31">
        <v>100</v>
      </c>
      <c r="BA31">
        <v>3.6</v>
      </c>
      <c r="BB31">
        <v>2019</v>
      </c>
      <c r="BF31">
        <v>29</v>
      </c>
      <c r="BG31">
        <v>0.7</v>
      </c>
      <c r="BH31" t="s">
        <v>40</v>
      </c>
      <c r="BI31" t="s">
        <v>40</v>
      </c>
      <c r="BJ31">
        <v>7300</v>
      </c>
      <c r="BK31">
        <v>6862</v>
      </c>
      <c r="BM31">
        <v>38</v>
      </c>
      <c r="BN31">
        <v>23</v>
      </c>
      <c r="BO31">
        <v>98</v>
      </c>
      <c r="BR31" t="s">
        <v>167</v>
      </c>
      <c r="BS31" t="s">
        <v>168</v>
      </c>
      <c r="BT31" t="s">
        <v>169</v>
      </c>
      <c r="BW31" t="s">
        <v>170</v>
      </c>
    </row>
    <row r="32" spans="1:77" x14ac:dyDescent="0.35">
      <c r="A32">
        <v>52</v>
      </c>
      <c r="B32" t="s">
        <v>100</v>
      </c>
      <c r="C32" t="s">
        <v>89</v>
      </c>
      <c r="D32">
        <v>1988</v>
      </c>
      <c r="E32" t="s">
        <v>247</v>
      </c>
      <c r="F32" t="s">
        <v>89</v>
      </c>
      <c r="G32" s="1">
        <f>+DATE(2019,3,19)</f>
        <v>43543</v>
      </c>
      <c r="H32" s="13" t="s">
        <v>6</v>
      </c>
      <c r="I32">
        <v>59</v>
      </c>
      <c r="J32" s="13" t="s">
        <v>58</v>
      </c>
      <c r="K32">
        <v>206</v>
      </c>
      <c r="L32" s="4">
        <f t="shared" si="0"/>
        <v>3.4915254237288136</v>
      </c>
      <c r="N32">
        <v>16</v>
      </c>
      <c r="P32" s="6">
        <v>6200</v>
      </c>
      <c r="Q32" s="6">
        <v>2410</v>
      </c>
      <c r="R32" s="6">
        <v>3300</v>
      </c>
      <c r="S32" s="6">
        <f t="shared" si="4"/>
        <v>11910</v>
      </c>
      <c r="T32" s="6">
        <f t="shared" si="1"/>
        <v>15656</v>
      </c>
      <c r="U32" s="22">
        <f t="shared" si="2"/>
        <v>-0.23926928972917727</v>
      </c>
      <c r="V32" t="s">
        <v>201</v>
      </c>
      <c r="W32" s="6">
        <v>152</v>
      </c>
      <c r="X32" s="6">
        <v>1</v>
      </c>
      <c r="Y32" s="9">
        <v>5.5</v>
      </c>
      <c r="Z32">
        <v>2</v>
      </c>
      <c r="AA32">
        <v>1.78</v>
      </c>
      <c r="AB32" t="s">
        <v>20</v>
      </c>
      <c r="AC32">
        <v>52</v>
      </c>
      <c r="AD32">
        <v>0.36</v>
      </c>
      <c r="AE32">
        <v>0.35</v>
      </c>
      <c r="AF32">
        <v>0.4</v>
      </c>
      <c r="AG32">
        <v>1.2</v>
      </c>
      <c r="AI32">
        <v>0.35</v>
      </c>
      <c r="AL32">
        <v>152</v>
      </c>
      <c r="AN32" s="4">
        <v>1</v>
      </c>
      <c r="AO32">
        <v>0.94</v>
      </c>
      <c r="AP32">
        <v>1988</v>
      </c>
      <c r="AW32" s="4">
        <v>1</v>
      </c>
      <c r="AX32">
        <v>0.93</v>
      </c>
      <c r="AY32">
        <v>2000</v>
      </c>
      <c r="BF32">
        <v>28</v>
      </c>
      <c r="BG32">
        <v>0.7</v>
      </c>
      <c r="BH32" t="s">
        <v>83</v>
      </c>
      <c r="BM32">
        <v>47</v>
      </c>
      <c r="BN32">
        <v>37</v>
      </c>
      <c r="BO32">
        <v>106</v>
      </c>
      <c r="BQ32" t="s">
        <v>202</v>
      </c>
      <c r="BR32" t="s">
        <v>203</v>
      </c>
      <c r="BU32" t="s">
        <v>67</v>
      </c>
      <c r="BW32" t="s">
        <v>95</v>
      </c>
    </row>
    <row r="33" spans="1:75" x14ac:dyDescent="0.35">
      <c r="A33">
        <v>53</v>
      </c>
      <c r="B33" t="s">
        <v>100</v>
      </c>
      <c r="C33" t="s">
        <v>89</v>
      </c>
      <c r="D33">
        <v>1990</v>
      </c>
      <c r="E33" t="s">
        <v>248</v>
      </c>
      <c r="F33" t="s">
        <v>89</v>
      </c>
      <c r="G33" s="1">
        <f>+DATE(2022,6,20)</f>
        <v>44732</v>
      </c>
      <c r="H33" s="13" t="s">
        <v>58</v>
      </c>
      <c r="I33">
        <v>93</v>
      </c>
      <c r="J33" s="13" t="s">
        <v>81</v>
      </c>
      <c r="K33">
        <v>296</v>
      </c>
      <c r="L33" s="4">
        <f t="shared" si="0"/>
        <v>3.182795698924731</v>
      </c>
      <c r="N33">
        <v>23</v>
      </c>
      <c r="S33" s="6">
        <f t="shared" si="4"/>
        <v>0</v>
      </c>
      <c r="T33" s="6">
        <f t="shared" si="1"/>
        <v>21756</v>
      </c>
      <c r="U33" s="22">
        <f t="shared" si="2"/>
        <v>-1</v>
      </c>
      <c r="V33" t="s">
        <v>204</v>
      </c>
      <c r="W33" s="6">
        <v>147</v>
      </c>
      <c r="X33" s="6">
        <v>1</v>
      </c>
      <c r="Y33" s="9">
        <v>6</v>
      </c>
      <c r="Z33">
        <v>2</v>
      </c>
      <c r="AA33">
        <v>2.5099999999999998</v>
      </c>
      <c r="AB33" t="s">
        <v>20</v>
      </c>
      <c r="AC33">
        <v>53</v>
      </c>
      <c r="AD33">
        <v>0.18</v>
      </c>
      <c r="AE33">
        <v>0.3</v>
      </c>
      <c r="AF33">
        <v>0.4</v>
      </c>
      <c r="AG33">
        <v>2.1</v>
      </c>
      <c r="AI33">
        <v>2.1</v>
      </c>
      <c r="AJ33">
        <v>0.6</v>
      </c>
      <c r="AL33">
        <v>147</v>
      </c>
      <c r="AN33" s="4">
        <v>1</v>
      </c>
      <c r="AO33">
        <v>0.94</v>
      </c>
      <c r="AP33">
        <v>1990</v>
      </c>
      <c r="AW33" s="4">
        <v>1</v>
      </c>
      <c r="AX33">
        <v>0.93</v>
      </c>
      <c r="AY33">
        <v>1988</v>
      </c>
      <c r="BF33">
        <v>36</v>
      </c>
      <c r="BG33">
        <v>0.7</v>
      </c>
      <c r="BH33" t="s">
        <v>40</v>
      </c>
      <c r="BI33" t="s">
        <v>40</v>
      </c>
      <c r="BM33">
        <v>59</v>
      </c>
      <c r="BN33">
        <v>47</v>
      </c>
      <c r="BO33">
        <v>117</v>
      </c>
      <c r="BQ33" t="s">
        <v>66</v>
      </c>
      <c r="BR33" t="s">
        <v>205</v>
      </c>
      <c r="BS33" t="s">
        <v>206</v>
      </c>
      <c r="BV33" t="s">
        <v>67</v>
      </c>
      <c r="BW33" t="s">
        <v>95</v>
      </c>
    </row>
    <row r="34" spans="1:75" x14ac:dyDescent="0.35">
      <c r="A34">
        <v>54</v>
      </c>
      <c r="B34" t="s">
        <v>100</v>
      </c>
      <c r="C34" t="s">
        <v>89</v>
      </c>
      <c r="D34">
        <v>1990</v>
      </c>
      <c r="E34" t="s">
        <v>249</v>
      </c>
      <c r="F34" t="s">
        <v>89</v>
      </c>
      <c r="G34" s="1">
        <f>+DATE(2023,1,30)</f>
        <v>44956</v>
      </c>
      <c r="H34" s="13" t="s">
        <v>6</v>
      </c>
      <c r="I34">
        <v>52</v>
      </c>
      <c r="J34" s="13" t="s">
        <v>6</v>
      </c>
      <c r="K34">
        <v>126</v>
      </c>
      <c r="L34" s="4">
        <f t="shared" si="0"/>
        <v>2.4230769230769229</v>
      </c>
      <c r="M34" s="14" t="s">
        <v>13</v>
      </c>
      <c r="O34">
        <v>8</v>
      </c>
      <c r="P34" s="6">
        <v>10230</v>
      </c>
      <c r="Q34" s="6">
        <v>1100</v>
      </c>
      <c r="R34" s="6">
        <v>3200</v>
      </c>
      <c r="S34" s="6">
        <f t="shared" si="4"/>
        <v>14530</v>
      </c>
      <c r="T34" s="6">
        <f t="shared" si="1"/>
        <v>10624.864864864865</v>
      </c>
      <c r="U34" s="22">
        <f t="shared" si="2"/>
        <v>0.36754680504680493</v>
      </c>
      <c r="V34" t="s">
        <v>207</v>
      </c>
      <c r="W34" s="6">
        <v>156</v>
      </c>
      <c r="X34" s="6">
        <v>1</v>
      </c>
      <c r="Y34" s="9">
        <v>5.5</v>
      </c>
      <c r="Z34">
        <v>3</v>
      </c>
      <c r="AA34">
        <v>1.9</v>
      </c>
      <c r="AB34" t="s">
        <v>20</v>
      </c>
      <c r="AC34">
        <v>54</v>
      </c>
      <c r="AD34">
        <v>0.14000000000000001</v>
      </c>
      <c r="AE34">
        <v>0.46</v>
      </c>
      <c r="AF34">
        <v>0.26</v>
      </c>
      <c r="AG34">
        <v>2.1</v>
      </c>
      <c r="AI34">
        <v>0.33</v>
      </c>
      <c r="AJ34">
        <v>0.23</v>
      </c>
      <c r="AL34">
        <v>156</v>
      </c>
      <c r="AN34" s="4">
        <v>0.9</v>
      </c>
      <c r="AO34">
        <v>0.94</v>
      </c>
      <c r="AP34">
        <v>1990</v>
      </c>
      <c r="AT34" s="4">
        <v>0.1</v>
      </c>
      <c r="AU34">
        <v>0.8</v>
      </c>
      <c r="AV34">
        <v>2013</v>
      </c>
      <c r="AZ34" s="19">
        <v>1</v>
      </c>
      <c r="BA34">
        <v>2.8</v>
      </c>
      <c r="BB34">
        <v>2013</v>
      </c>
      <c r="BF34">
        <v>24</v>
      </c>
      <c r="BG34">
        <v>0.7</v>
      </c>
      <c r="BH34" t="s">
        <v>83</v>
      </c>
      <c r="BI34" t="s">
        <v>83</v>
      </c>
      <c r="BJ34">
        <v>4500</v>
      </c>
      <c r="BK34">
        <v>2691</v>
      </c>
      <c r="BM34">
        <v>45</v>
      </c>
      <c r="BN34">
        <v>45</v>
      </c>
      <c r="BO34">
        <v>104</v>
      </c>
      <c r="BP34" t="s">
        <v>66</v>
      </c>
      <c r="BQ34" t="s">
        <v>209</v>
      </c>
      <c r="BR34" t="s">
        <v>208</v>
      </c>
      <c r="BT34" t="s">
        <v>67</v>
      </c>
      <c r="BU34" t="s">
        <v>78</v>
      </c>
      <c r="BW34" t="s">
        <v>77</v>
      </c>
    </row>
    <row r="35" spans="1:75" x14ac:dyDescent="0.35">
      <c r="A35">
        <v>14</v>
      </c>
      <c r="B35" t="s">
        <v>100</v>
      </c>
      <c r="C35" t="s">
        <v>103</v>
      </c>
      <c r="D35">
        <v>1975</v>
      </c>
      <c r="E35" t="s">
        <v>12</v>
      </c>
      <c r="F35" t="s">
        <v>103</v>
      </c>
      <c r="G35" s="1">
        <f>+DATE(2022,11,21)</f>
        <v>44886</v>
      </c>
      <c r="H35" s="13" t="s">
        <v>59</v>
      </c>
      <c r="I35">
        <v>105</v>
      </c>
      <c r="J35" s="13" t="s">
        <v>81</v>
      </c>
      <c r="K35">
        <v>290</v>
      </c>
      <c r="L35" s="4">
        <f t="shared" ref="L35:L58" si="5">+K35/I35</f>
        <v>2.7619047619047619</v>
      </c>
      <c r="O35">
        <v>23</v>
      </c>
      <c r="P35" s="6">
        <v>32480</v>
      </c>
      <c r="Q35" s="6">
        <v>2820</v>
      </c>
      <c r="R35" s="6">
        <v>6900</v>
      </c>
      <c r="S35" s="6">
        <f t="shared" si="4"/>
        <v>42200</v>
      </c>
      <c r="T35" s="6">
        <f t="shared" ref="T35:T58" si="6">+W35*K35/((2*AN35)+(0.5*AT35))</f>
        <v>48140</v>
      </c>
      <c r="U35" s="22">
        <f t="shared" si="2"/>
        <v>-0.12339011217282925</v>
      </c>
      <c r="V35" t="s">
        <v>107</v>
      </c>
      <c r="W35" s="6">
        <v>332</v>
      </c>
      <c r="X35" s="6">
        <v>2</v>
      </c>
      <c r="Y35" s="9">
        <v>4.5</v>
      </c>
      <c r="Z35">
        <v>3</v>
      </c>
      <c r="AA35">
        <v>2.11</v>
      </c>
      <c r="AB35" t="s">
        <v>20</v>
      </c>
      <c r="AC35">
        <v>14</v>
      </c>
      <c r="AD35">
        <v>0.5</v>
      </c>
      <c r="AE35">
        <v>0.55000000000000004</v>
      </c>
      <c r="AF35">
        <v>0.4</v>
      </c>
      <c r="AG35">
        <v>1.2</v>
      </c>
      <c r="AJ35">
        <v>0.96</v>
      </c>
      <c r="AL35">
        <v>332</v>
      </c>
      <c r="AN35" s="4">
        <v>1</v>
      </c>
      <c r="AO35">
        <v>0.94</v>
      </c>
      <c r="AP35">
        <v>1975</v>
      </c>
      <c r="AW35" s="4">
        <v>0.35</v>
      </c>
      <c r="AX35">
        <v>0.93</v>
      </c>
      <c r="AY35">
        <v>1975</v>
      </c>
      <c r="AZ35">
        <v>0.65</v>
      </c>
      <c r="BA35">
        <v>2.8</v>
      </c>
      <c r="BB35">
        <v>2015</v>
      </c>
      <c r="BF35">
        <v>45</v>
      </c>
      <c r="BG35">
        <v>0.7</v>
      </c>
      <c r="BH35" t="s">
        <v>83</v>
      </c>
      <c r="BM35">
        <v>52</v>
      </c>
      <c r="BN35">
        <v>42</v>
      </c>
      <c r="BO35">
        <v>111</v>
      </c>
      <c r="BQ35" t="s">
        <v>65</v>
      </c>
      <c r="BR35" t="s">
        <v>104</v>
      </c>
      <c r="BS35" t="s">
        <v>105</v>
      </c>
      <c r="BV35" t="s">
        <v>106</v>
      </c>
      <c r="BW35" t="s">
        <v>77</v>
      </c>
    </row>
    <row r="36" spans="1:75" x14ac:dyDescent="0.35">
      <c r="A36">
        <v>43</v>
      </c>
      <c r="B36" t="s">
        <v>100</v>
      </c>
      <c r="C36" t="s">
        <v>176</v>
      </c>
      <c r="D36">
        <v>1984</v>
      </c>
      <c r="E36" t="s">
        <v>12</v>
      </c>
      <c r="F36" t="s">
        <v>176</v>
      </c>
      <c r="G36" s="1">
        <f>+DATE(2023,3,27)</f>
        <v>45012</v>
      </c>
      <c r="H36" s="13" t="s">
        <v>6</v>
      </c>
      <c r="I36">
        <v>66</v>
      </c>
      <c r="J36" s="13" t="s">
        <v>81</v>
      </c>
      <c r="K36">
        <v>276</v>
      </c>
      <c r="L36" s="4">
        <f t="shared" si="5"/>
        <v>4.1818181818181817</v>
      </c>
      <c r="M36" s="14" t="s">
        <v>13</v>
      </c>
      <c r="O36">
        <v>17</v>
      </c>
      <c r="P36" s="6">
        <v>5070</v>
      </c>
      <c r="Q36" s="6">
        <v>4640</v>
      </c>
      <c r="R36" s="6">
        <v>3460</v>
      </c>
      <c r="S36" s="6">
        <f t="shared" si="4"/>
        <v>13170</v>
      </c>
      <c r="T36" s="6">
        <f t="shared" si="6"/>
        <v>17455.135135135133</v>
      </c>
      <c r="U36" s="22">
        <f t="shared" si="2"/>
        <v>-0.24549424005945741</v>
      </c>
      <c r="V36" t="s">
        <v>195</v>
      </c>
      <c r="W36" s="6">
        <v>117</v>
      </c>
      <c r="X36" s="6">
        <v>1</v>
      </c>
      <c r="Y36" s="9">
        <v>4.5</v>
      </c>
      <c r="Z36">
        <v>3</v>
      </c>
      <c r="AA36">
        <v>2.0099999999999998</v>
      </c>
      <c r="AB36" t="s">
        <v>20</v>
      </c>
      <c r="AC36">
        <v>43</v>
      </c>
      <c r="AD36">
        <v>0.19</v>
      </c>
      <c r="AE36">
        <v>0.3</v>
      </c>
      <c r="AG36">
        <v>0.89</v>
      </c>
      <c r="AH36">
        <v>0.27</v>
      </c>
      <c r="AJ36">
        <v>0.89</v>
      </c>
      <c r="AL36">
        <v>117</v>
      </c>
      <c r="AN36" s="4">
        <v>0.9</v>
      </c>
      <c r="AO36">
        <v>0.93</v>
      </c>
      <c r="AP36">
        <v>2012</v>
      </c>
      <c r="AT36" s="4">
        <v>0.1</v>
      </c>
      <c r="AU36">
        <v>0.7</v>
      </c>
      <c r="AV36">
        <v>2017</v>
      </c>
      <c r="AW36" s="4">
        <v>1</v>
      </c>
      <c r="AX36">
        <v>0.93</v>
      </c>
      <c r="AY36">
        <v>2017</v>
      </c>
      <c r="BF36">
        <v>27</v>
      </c>
      <c r="BG36">
        <v>0.7</v>
      </c>
      <c r="BM36">
        <v>46</v>
      </c>
      <c r="BN36">
        <v>28</v>
      </c>
      <c r="BO36">
        <v>105</v>
      </c>
      <c r="BP36" t="s">
        <v>65</v>
      </c>
      <c r="BQ36" t="s">
        <v>177</v>
      </c>
      <c r="BR36" t="s">
        <v>87</v>
      </c>
      <c r="BS36" t="s">
        <v>178</v>
      </c>
      <c r="BW36" t="s">
        <v>68</v>
      </c>
    </row>
    <row r="37" spans="1:75" x14ac:dyDescent="0.35">
      <c r="A37">
        <v>30</v>
      </c>
      <c r="B37" t="s">
        <v>99</v>
      </c>
      <c r="C37" t="s">
        <v>160</v>
      </c>
      <c r="D37">
        <v>1982</v>
      </c>
      <c r="E37" t="s">
        <v>12</v>
      </c>
      <c r="F37" t="s">
        <v>263</v>
      </c>
      <c r="G37" s="1">
        <f>+DATE(2022,7,4)</f>
        <v>44746</v>
      </c>
      <c r="H37" s="13" t="s">
        <v>59</v>
      </c>
      <c r="I37">
        <v>87</v>
      </c>
      <c r="J37" s="13" t="s">
        <v>59</v>
      </c>
      <c r="K37">
        <v>238</v>
      </c>
      <c r="L37" s="4">
        <f t="shared" si="5"/>
        <v>2.735632183908046</v>
      </c>
      <c r="O37">
        <v>18</v>
      </c>
      <c r="P37" s="6">
        <v>13950</v>
      </c>
      <c r="Q37" s="6">
        <v>1050</v>
      </c>
      <c r="R37" s="6">
        <v>4000</v>
      </c>
      <c r="S37" s="6">
        <f t="shared" si="4"/>
        <v>19000</v>
      </c>
      <c r="T37" s="6">
        <f t="shared" si="6"/>
        <v>24752</v>
      </c>
      <c r="U37" s="22">
        <f t="shared" si="2"/>
        <v>-0.23238526179702645</v>
      </c>
      <c r="V37" t="s">
        <v>163</v>
      </c>
      <c r="W37" s="6">
        <v>208</v>
      </c>
      <c r="X37" s="6">
        <v>1</v>
      </c>
      <c r="Y37" s="9">
        <v>5.5</v>
      </c>
      <c r="Z37">
        <v>3</v>
      </c>
      <c r="AA37">
        <v>1.43</v>
      </c>
      <c r="AB37" t="s">
        <v>20</v>
      </c>
      <c r="AC37">
        <v>30</v>
      </c>
      <c r="AD37">
        <v>0.43</v>
      </c>
      <c r="AE37">
        <v>0.36</v>
      </c>
      <c r="AG37">
        <v>1.3</v>
      </c>
      <c r="AI37">
        <v>2.2000000000000002</v>
      </c>
      <c r="AJ37">
        <v>1.2</v>
      </c>
      <c r="AL37">
        <v>208</v>
      </c>
      <c r="AN37" s="4">
        <v>1</v>
      </c>
      <c r="AO37">
        <v>0.94</v>
      </c>
      <c r="AP37">
        <v>1982</v>
      </c>
      <c r="AZ37" s="4">
        <v>1</v>
      </c>
      <c r="BA37">
        <v>2.8</v>
      </c>
      <c r="BB37">
        <v>2017</v>
      </c>
      <c r="BF37">
        <v>32</v>
      </c>
      <c r="BG37">
        <v>0.7</v>
      </c>
      <c r="BH37" t="s">
        <v>83</v>
      </c>
      <c r="BI37" t="s">
        <v>40</v>
      </c>
      <c r="BM37">
        <v>41</v>
      </c>
      <c r="BN37">
        <v>33</v>
      </c>
      <c r="BO37">
        <v>100</v>
      </c>
      <c r="BQ37" t="s">
        <v>65</v>
      </c>
      <c r="BR37" t="s">
        <v>136</v>
      </c>
      <c r="BS37" t="s">
        <v>161</v>
      </c>
      <c r="BT37" t="s">
        <v>78</v>
      </c>
      <c r="BU37" t="s">
        <v>162</v>
      </c>
      <c r="BW37" t="s">
        <v>54</v>
      </c>
    </row>
    <row r="38" spans="1:75" x14ac:dyDescent="0.35">
      <c r="A38">
        <v>8</v>
      </c>
      <c r="B38" t="s">
        <v>100</v>
      </c>
      <c r="C38" t="s">
        <v>116</v>
      </c>
      <c r="D38">
        <v>1977</v>
      </c>
      <c r="E38" t="s">
        <v>12</v>
      </c>
      <c r="F38" t="s">
        <v>116</v>
      </c>
      <c r="G38" s="1">
        <f>+DATE(2018,5,17)</f>
        <v>43237</v>
      </c>
      <c r="H38" s="13" t="s">
        <v>81</v>
      </c>
      <c r="I38">
        <v>164</v>
      </c>
      <c r="J38" s="13" t="s">
        <v>80</v>
      </c>
      <c r="K38">
        <v>285</v>
      </c>
      <c r="L38" s="4">
        <f t="shared" si="5"/>
        <v>1.7378048780487805</v>
      </c>
      <c r="O38">
        <v>29</v>
      </c>
      <c r="P38" s="6">
        <v>26130</v>
      </c>
      <c r="Q38" s="6">
        <v>1380</v>
      </c>
      <c r="R38" s="6">
        <v>4500</v>
      </c>
      <c r="S38" s="6">
        <f t="shared" si="4"/>
        <v>32010</v>
      </c>
      <c r="T38" s="6">
        <f t="shared" si="6"/>
        <v>35197.5</v>
      </c>
      <c r="U38" s="22">
        <f t="shared" si="2"/>
        <v>-9.0560409119965879E-2</v>
      </c>
      <c r="V38" t="s">
        <v>117</v>
      </c>
      <c r="W38" s="6">
        <v>247</v>
      </c>
      <c r="X38" s="6">
        <v>1</v>
      </c>
      <c r="Y38" s="9">
        <v>6</v>
      </c>
      <c r="Z38">
        <v>2</v>
      </c>
      <c r="AA38">
        <v>2.4500000000000002</v>
      </c>
      <c r="AB38" t="s">
        <v>20</v>
      </c>
      <c r="AC38">
        <v>8</v>
      </c>
      <c r="AD38">
        <v>0.6</v>
      </c>
      <c r="AE38">
        <v>0.6</v>
      </c>
      <c r="AG38">
        <v>1</v>
      </c>
      <c r="AJ38">
        <v>1.4</v>
      </c>
      <c r="AL38">
        <v>247</v>
      </c>
      <c r="AN38" s="4">
        <v>1</v>
      </c>
      <c r="AO38">
        <v>1</v>
      </c>
      <c r="AP38">
        <v>2005</v>
      </c>
      <c r="AZ38">
        <v>100</v>
      </c>
      <c r="BA38">
        <v>2.8</v>
      </c>
      <c r="BB38">
        <v>2018</v>
      </c>
      <c r="BG38">
        <v>0.7</v>
      </c>
      <c r="BH38" t="s">
        <v>40</v>
      </c>
      <c r="BI38" t="s">
        <v>40</v>
      </c>
      <c r="BJ38" s="15" t="s">
        <v>149</v>
      </c>
      <c r="BM38">
        <v>58</v>
      </c>
      <c r="BN38">
        <v>46</v>
      </c>
      <c r="BO38">
        <v>116</v>
      </c>
      <c r="BP38" t="s">
        <v>65</v>
      </c>
      <c r="BS38" t="s">
        <v>118</v>
      </c>
      <c r="BU38" t="s">
        <v>106</v>
      </c>
      <c r="BW38" t="s">
        <v>77</v>
      </c>
    </row>
    <row r="39" spans="1:75" x14ac:dyDescent="0.35">
      <c r="A39">
        <v>7</v>
      </c>
      <c r="B39" t="s">
        <v>100</v>
      </c>
      <c r="C39" t="s">
        <v>119</v>
      </c>
      <c r="D39">
        <v>1974</v>
      </c>
      <c r="E39" t="s">
        <v>12</v>
      </c>
      <c r="F39" t="s">
        <v>119</v>
      </c>
      <c r="G39" s="1">
        <f>+DATE(2023,7,2)</f>
        <v>45109</v>
      </c>
      <c r="H39" s="13" t="s">
        <v>58</v>
      </c>
      <c r="I39">
        <v>71</v>
      </c>
      <c r="J39" s="13" t="s">
        <v>6</v>
      </c>
      <c r="K39">
        <v>130</v>
      </c>
      <c r="L39" s="4">
        <f t="shared" si="5"/>
        <v>1.8309859154929577</v>
      </c>
      <c r="M39" s="14" t="s">
        <v>13</v>
      </c>
      <c r="O39">
        <v>9</v>
      </c>
      <c r="P39" s="6">
        <v>15670</v>
      </c>
      <c r="Q39" s="6">
        <v>1880</v>
      </c>
      <c r="R39" s="6">
        <v>2500</v>
      </c>
      <c r="S39" s="6">
        <f t="shared" si="4"/>
        <v>20050</v>
      </c>
      <c r="T39" s="6">
        <f t="shared" si="6"/>
        <v>22252.941176470587</v>
      </c>
      <c r="U39" s="22">
        <f t="shared" si="2"/>
        <v>-9.8995506212001039E-2</v>
      </c>
      <c r="V39" t="s">
        <v>120</v>
      </c>
      <c r="W39" s="6">
        <v>291</v>
      </c>
      <c r="X39" s="6">
        <v>1</v>
      </c>
      <c r="Y39" s="9">
        <v>6</v>
      </c>
      <c r="Z39">
        <v>2</v>
      </c>
      <c r="AA39">
        <v>1.81</v>
      </c>
      <c r="AB39" t="s">
        <v>20</v>
      </c>
      <c r="AC39">
        <v>7</v>
      </c>
      <c r="AD39">
        <v>0.2</v>
      </c>
      <c r="AE39">
        <v>0.7</v>
      </c>
      <c r="AF39">
        <v>0.8</v>
      </c>
      <c r="AG39">
        <v>0.8</v>
      </c>
      <c r="AL39">
        <v>291</v>
      </c>
      <c r="AN39" s="4">
        <v>0.8</v>
      </c>
      <c r="AO39">
        <v>0.94</v>
      </c>
      <c r="AP39">
        <v>1974</v>
      </c>
      <c r="AT39" s="4">
        <v>0.2</v>
      </c>
      <c r="AU39">
        <v>0.69</v>
      </c>
      <c r="AV39">
        <v>1974</v>
      </c>
      <c r="AZ39">
        <v>100</v>
      </c>
      <c r="BA39">
        <v>2.2400000000000002</v>
      </c>
      <c r="BB39">
        <v>1974</v>
      </c>
      <c r="BF39">
        <v>27</v>
      </c>
      <c r="BG39">
        <v>0.7</v>
      </c>
      <c r="BH39" t="s">
        <v>83</v>
      </c>
      <c r="BI39" t="s">
        <v>83</v>
      </c>
      <c r="BJ39">
        <v>15390</v>
      </c>
      <c r="BK39">
        <v>8003</v>
      </c>
      <c r="BM39">
        <v>43</v>
      </c>
      <c r="BN39">
        <v>43</v>
      </c>
      <c r="BO39">
        <v>103</v>
      </c>
      <c r="BP39" t="s">
        <v>65</v>
      </c>
      <c r="BQ39" t="s">
        <v>66</v>
      </c>
      <c r="BS39" t="s">
        <v>105</v>
      </c>
      <c r="BT39" t="s">
        <v>67</v>
      </c>
      <c r="BU39" t="s">
        <v>121</v>
      </c>
      <c r="BW39" t="s">
        <v>77</v>
      </c>
    </row>
    <row r="40" spans="1:75" x14ac:dyDescent="0.35">
      <c r="A40">
        <v>46</v>
      </c>
      <c r="B40" t="s">
        <v>99</v>
      </c>
      <c r="C40" t="s">
        <v>184</v>
      </c>
      <c r="D40">
        <v>1984</v>
      </c>
      <c r="E40" t="s">
        <v>12</v>
      </c>
      <c r="F40" t="s">
        <v>184</v>
      </c>
      <c r="G40" s="1">
        <f>+DATE(2023,6,23)</f>
        <v>45100</v>
      </c>
      <c r="H40" s="13" t="s">
        <v>58</v>
      </c>
      <c r="I40">
        <v>63</v>
      </c>
      <c r="J40" s="13" t="s">
        <v>81</v>
      </c>
      <c r="K40">
        <v>306</v>
      </c>
      <c r="L40" s="4">
        <f t="shared" si="5"/>
        <v>4.8571428571428568</v>
      </c>
      <c r="M40" s="14" t="s">
        <v>13</v>
      </c>
      <c r="O40">
        <v>20</v>
      </c>
      <c r="P40" s="6">
        <v>9750</v>
      </c>
      <c r="Q40" s="6">
        <v>3000</v>
      </c>
      <c r="R40" s="6">
        <v>2610</v>
      </c>
      <c r="S40" s="6">
        <f t="shared" si="4"/>
        <v>15360</v>
      </c>
      <c r="T40" s="6">
        <f t="shared" si="6"/>
        <v>17901</v>
      </c>
      <c r="U40" s="22">
        <f t="shared" si="2"/>
        <v>-0.14194737724149487</v>
      </c>
      <c r="V40" t="s">
        <v>198</v>
      </c>
      <c r="W40" s="6">
        <v>117</v>
      </c>
      <c r="X40" s="6">
        <v>1</v>
      </c>
      <c r="Z40">
        <v>2</v>
      </c>
      <c r="AA40">
        <v>2.27</v>
      </c>
      <c r="AB40" t="s">
        <v>20</v>
      </c>
      <c r="AC40">
        <v>46</v>
      </c>
      <c r="AD40">
        <v>0.28999999999999998</v>
      </c>
      <c r="AE40">
        <v>0.32</v>
      </c>
      <c r="AF40">
        <v>0.71</v>
      </c>
      <c r="AG40">
        <v>1.4</v>
      </c>
      <c r="AL40">
        <v>117</v>
      </c>
      <c r="AN40" s="4">
        <v>1</v>
      </c>
      <c r="AO40">
        <v>0.94</v>
      </c>
      <c r="BF40">
        <v>35</v>
      </c>
    </row>
    <row r="41" spans="1:75" x14ac:dyDescent="0.35">
      <c r="A41">
        <v>4</v>
      </c>
      <c r="B41" t="s">
        <v>100</v>
      </c>
      <c r="C41" t="s">
        <v>128</v>
      </c>
      <c r="D41">
        <v>1986</v>
      </c>
      <c r="E41" t="s">
        <v>12</v>
      </c>
      <c r="F41" t="s">
        <v>128</v>
      </c>
      <c r="G41" s="1">
        <f>+DATE(2018,9,11)</f>
        <v>43354</v>
      </c>
      <c r="H41" s="13" t="s">
        <v>6</v>
      </c>
      <c r="I41">
        <v>81</v>
      </c>
      <c r="J41" s="13" t="s">
        <v>58</v>
      </c>
      <c r="K41">
        <v>234</v>
      </c>
      <c r="L41" s="4">
        <f t="shared" si="5"/>
        <v>2.8888888888888888</v>
      </c>
      <c r="O41">
        <v>17</v>
      </c>
      <c r="P41" s="10"/>
      <c r="T41" s="6">
        <f t="shared" si="6"/>
        <v>17409.599999999999</v>
      </c>
      <c r="U41" s="22"/>
      <c r="V41" t="s">
        <v>129</v>
      </c>
      <c r="W41" s="6">
        <v>186</v>
      </c>
      <c r="X41" s="6">
        <v>1</v>
      </c>
      <c r="Y41" s="9">
        <v>6</v>
      </c>
      <c r="Z41">
        <v>2</v>
      </c>
      <c r="AA41">
        <v>2.52</v>
      </c>
      <c r="AB41" t="s">
        <v>20</v>
      </c>
      <c r="AC41">
        <v>4</v>
      </c>
      <c r="AD41">
        <v>0.19</v>
      </c>
      <c r="AE41">
        <v>0.14000000000000001</v>
      </c>
      <c r="AF41">
        <v>0.77</v>
      </c>
      <c r="AG41">
        <v>1.3</v>
      </c>
      <c r="AI41">
        <v>0.62</v>
      </c>
      <c r="AJ41">
        <v>0.69</v>
      </c>
      <c r="AL41">
        <v>186</v>
      </c>
      <c r="AN41" s="4">
        <v>1</v>
      </c>
      <c r="AO41">
        <v>1</v>
      </c>
      <c r="AP41">
        <v>2010</v>
      </c>
      <c r="AT41" s="4">
        <v>1</v>
      </c>
      <c r="AU41">
        <v>0.69</v>
      </c>
      <c r="AV41">
        <v>1986</v>
      </c>
      <c r="AW41" s="4">
        <v>1</v>
      </c>
      <c r="AX41">
        <v>0.93</v>
      </c>
      <c r="AY41">
        <v>2015</v>
      </c>
      <c r="BF41">
        <v>33</v>
      </c>
      <c r="BG41">
        <v>0.7</v>
      </c>
      <c r="BH41" t="s">
        <v>40</v>
      </c>
      <c r="BM41">
        <v>59</v>
      </c>
      <c r="BN41">
        <v>47</v>
      </c>
      <c r="BO41">
        <v>117</v>
      </c>
      <c r="BP41" t="s">
        <v>87</v>
      </c>
      <c r="BQ41" t="s">
        <v>130</v>
      </c>
      <c r="BS41" t="s">
        <v>131</v>
      </c>
      <c r="BV41" t="s">
        <v>67</v>
      </c>
      <c r="BW41" t="s">
        <v>93</v>
      </c>
    </row>
    <row r="42" spans="1:75" x14ac:dyDescent="0.35">
      <c r="A42">
        <v>67</v>
      </c>
      <c r="B42" t="s">
        <v>172</v>
      </c>
      <c r="D42">
        <v>1986</v>
      </c>
      <c r="E42" t="s">
        <v>12</v>
      </c>
      <c r="F42" t="s">
        <v>267</v>
      </c>
      <c r="G42" s="1">
        <v>44270</v>
      </c>
      <c r="H42" s="13" t="s">
        <v>6</v>
      </c>
      <c r="I42">
        <v>63</v>
      </c>
      <c r="J42" s="13" t="s">
        <v>171</v>
      </c>
      <c r="K42">
        <v>92</v>
      </c>
      <c r="L42" s="4">
        <f t="shared" si="5"/>
        <v>1.4603174603174602</v>
      </c>
      <c r="N42">
        <v>7</v>
      </c>
      <c r="P42" s="6">
        <v>14910</v>
      </c>
      <c r="Q42" s="6">
        <v>1300</v>
      </c>
      <c r="R42" s="6">
        <v>1500</v>
      </c>
      <c r="S42" s="6">
        <f>+SUM(P42:R42)</f>
        <v>17710</v>
      </c>
      <c r="T42" s="6">
        <f t="shared" si="6"/>
        <v>8694</v>
      </c>
      <c r="U42" s="22">
        <f t="shared" ref="U42:U58" si="7">+S42/T42-1</f>
        <v>1.0370370370370372</v>
      </c>
      <c r="V42" t="s">
        <v>237</v>
      </c>
      <c r="W42" s="6">
        <v>189</v>
      </c>
      <c r="X42" s="6">
        <v>1</v>
      </c>
      <c r="Y42" s="9">
        <v>5.5</v>
      </c>
      <c r="Z42">
        <v>2</v>
      </c>
      <c r="AA42">
        <v>1.83</v>
      </c>
      <c r="AB42" t="s">
        <v>20</v>
      </c>
      <c r="AC42">
        <v>67</v>
      </c>
      <c r="AD42">
        <v>0.35</v>
      </c>
      <c r="AE42">
        <v>0.31</v>
      </c>
      <c r="AG42">
        <v>1.1000000000000001</v>
      </c>
      <c r="AH42">
        <v>0.16</v>
      </c>
      <c r="AI42">
        <v>0.31</v>
      </c>
      <c r="AJ42">
        <v>0.36</v>
      </c>
      <c r="AL42">
        <v>189</v>
      </c>
      <c r="AN42" s="4">
        <v>1</v>
      </c>
      <c r="AO42">
        <v>0.94</v>
      </c>
      <c r="AP42">
        <v>1986</v>
      </c>
      <c r="AZ42">
        <v>100</v>
      </c>
      <c r="BA42">
        <v>2.8</v>
      </c>
      <c r="BB42">
        <v>2020</v>
      </c>
      <c r="BF42">
        <v>24</v>
      </c>
      <c r="BG42">
        <v>0.7</v>
      </c>
      <c r="BH42" t="s">
        <v>83</v>
      </c>
      <c r="BI42" t="s">
        <v>83</v>
      </c>
      <c r="BJ42">
        <v>18000</v>
      </c>
      <c r="BK42">
        <v>9360</v>
      </c>
      <c r="BM42">
        <v>49</v>
      </c>
      <c r="BN42">
        <v>39</v>
      </c>
      <c r="BO42">
        <v>106</v>
      </c>
      <c r="BP42" t="s">
        <v>238</v>
      </c>
      <c r="BQ42" t="s">
        <v>155</v>
      </c>
      <c r="BR42" t="s">
        <v>239</v>
      </c>
      <c r="BT42" t="s">
        <v>216</v>
      </c>
      <c r="BU42" t="s">
        <v>78</v>
      </c>
      <c r="BW42" t="s">
        <v>240</v>
      </c>
    </row>
    <row r="43" spans="1:75" x14ac:dyDescent="0.35">
      <c r="A43">
        <v>68</v>
      </c>
      <c r="B43" t="s">
        <v>172</v>
      </c>
      <c r="D43">
        <v>1978</v>
      </c>
      <c r="E43" t="s">
        <v>12</v>
      </c>
      <c r="F43" t="s">
        <v>268</v>
      </c>
      <c r="G43" s="1">
        <v>45558</v>
      </c>
      <c r="H43" s="13" t="s">
        <v>58</v>
      </c>
      <c r="I43">
        <v>93</v>
      </c>
      <c r="J43" s="13" t="s">
        <v>59</v>
      </c>
      <c r="K43">
        <v>264</v>
      </c>
      <c r="L43" s="4">
        <f t="shared" si="5"/>
        <v>2.838709677419355</v>
      </c>
      <c r="M43" s="14" t="s">
        <v>13</v>
      </c>
      <c r="O43">
        <v>17</v>
      </c>
      <c r="P43" s="6">
        <v>16000</v>
      </c>
      <c r="Q43" s="6">
        <v>4000</v>
      </c>
      <c r="R43" s="6">
        <v>3000</v>
      </c>
      <c r="S43" s="6">
        <f>+SUM(P43:R43)</f>
        <v>23000</v>
      </c>
      <c r="T43" s="6">
        <f t="shared" si="6"/>
        <v>27060</v>
      </c>
      <c r="U43" s="22">
        <f t="shared" si="7"/>
        <v>-0.15003695491500368</v>
      </c>
      <c r="V43" t="s">
        <v>163</v>
      </c>
      <c r="W43" s="6">
        <v>205</v>
      </c>
      <c r="X43" s="6">
        <v>1</v>
      </c>
      <c r="Y43" s="9">
        <v>4.5</v>
      </c>
      <c r="Z43">
        <v>2</v>
      </c>
      <c r="AA43">
        <v>2.2000000000000002</v>
      </c>
      <c r="AB43" t="s">
        <v>20</v>
      </c>
      <c r="AC43">
        <v>68</v>
      </c>
      <c r="AD43">
        <v>0.16</v>
      </c>
      <c r="AE43">
        <v>0.36</v>
      </c>
      <c r="AF43">
        <v>1.7</v>
      </c>
      <c r="AG43">
        <v>1.9</v>
      </c>
      <c r="AL43">
        <v>205</v>
      </c>
      <c r="AN43" s="4">
        <v>1</v>
      </c>
      <c r="AO43">
        <v>0.94</v>
      </c>
      <c r="AP43">
        <v>1978</v>
      </c>
      <c r="AW43" s="4">
        <v>1</v>
      </c>
      <c r="AX43">
        <v>0.93</v>
      </c>
      <c r="AY43">
        <v>2008</v>
      </c>
      <c r="BF43">
        <v>33</v>
      </c>
      <c r="BG43">
        <v>0.7</v>
      </c>
      <c r="BH43" t="s">
        <v>40</v>
      </c>
      <c r="BM43">
        <v>49</v>
      </c>
      <c r="BN43">
        <v>34</v>
      </c>
      <c r="BO43">
        <v>108</v>
      </c>
      <c r="BQ43" t="s">
        <v>66</v>
      </c>
      <c r="BR43" t="s">
        <v>165</v>
      </c>
      <c r="BS43" t="s">
        <v>74</v>
      </c>
      <c r="BU43" t="s">
        <v>216</v>
      </c>
      <c r="BW43" t="s">
        <v>95</v>
      </c>
    </row>
    <row r="44" spans="1:75" x14ac:dyDescent="0.35">
      <c r="A44">
        <v>69</v>
      </c>
      <c r="B44" t="s">
        <v>172</v>
      </c>
      <c r="D44">
        <v>1982</v>
      </c>
      <c r="E44" t="s">
        <v>12</v>
      </c>
      <c r="F44" t="s">
        <v>269</v>
      </c>
      <c r="G44" s="1">
        <v>45587</v>
      </c>
      <c r="H44" s="13" t="s">
        <v>58</v>
      </c>
      <c r="I44">
        <v>87</v>
      </c>
      <c r="J44" s="13" t="s">
        <v>59</v>
      </c>
      <c r="K44">
        <v>263</v>
      </c>
      <c r="L44" s="4">
        <f t="shared" si="5"/>
        <v>3.0229885057471266</v>
      </c>
      <c r="N44">
        <v>20</v>
      </c>
      <c r="P44" s="6">
        <v>13450</v>
      </c>
      <c r="Q44" s="6">
        <v>3150</v>
      </c>
      <c r="R44" s="6">
        <v>3000</v>
      </c>
      <c r="S44" s="6">
        <f>+SUM(P44:R44)</f>
        <v>19600</v>
      </c>
      <c r="T44" s="6">
        <f t="shared" si="6"/>
        <v>26168.5</v>
      </c>
      <c r="U44" s="22">
        <f t="shared" si="7"/>
        <v>-0.25100789116686095</v>
      </c>
      <c r="V44" t="s">
        <v>163</v>
      </c>
      <c r="W44" s="6">
        <v>199</v>
      </c>
      <c r="X44" s="6">
        <v>1</v>
      </c>
      <c r="Y44" s="9">
        <v>5.5</v>
      </c>
      <c r="Z44">
        <v>3</v>
      </c>
      <c r="AA44">
        <v>1.79</v>
      </c>
      <c r="AB44" t="s">
        <v>20</v>
      </c>
      <c r="AC44">
        <v>69</v>
      </c>
      <c r="AD44">
        <v>0.36</v>
      </c>
      <c r="AE44">
        <v>0.39</v>
      </c>
      <c r="AF44">
        <v>0.35</v>
      </c>
      <c r="AG44">
        <v>1.3</v>
      </c>
      <c r="AI44">
        <v>1.7</v>
      </c>
      <c r="AJ44">
        <v>0.8</v>
      </c>
      <c r="AL44">
        <v>199</v>
      </c>
      <c r="AN44" s="4">
        <v>1</v>
      </c>
      <c r="AO44">
        <v>0.93</v>
      </c>
      <c r="AP44">
        <v>1982</v>
      </c>
      <c r="AW44" s="4">
        <v>1</v>
      </c>
      <c r="AX44">
        <v>0.93</v>
      </c>
      <c r="AY44">
        <v>2009</v>
      </c>
      <c r="BF44">
        <v>34</v>
      </c>
      <c r="BG44">
        <v>0.7</v>
      </c>
      <c r="BH44" t="s">
        <v>241</v>
      </c>
      <c r="BM44">
        <v>47</v>
      </c>
      <c r="BN44">
        <v>37</v>
      </c>
      <c r="BO44">
        <v>106</v>
      </c>
      <c r="BQ44" t="s">
        <v>242</v>
      </c>
      <c r="BR44" t="s">
        <v>156</v>
      </c>
      <c r="BS44" t="s">
        <v>243</v>
      </c>
      <c r="BU44" t="s">
        <v>216</v>
      </c>
      <c r="BW44" t="s">
        <v>95</v>
      </c>
    </row>
    <row r="45" spans="1:75" x14ac:dyDescent="0.35">
      <c r="A45">
        <v>70</v>
      </c>
      <c r="B45" t="s">
        <v>172</v>
      </c>
      <c r="D45">
        <v>1984</v>
      </c>
      <c r="E45" t="s">
        <v>12</v>
      </c>
      <c r="F45" t="s">
        <v>132</v>
      </c>
      <c r="G45" s="1">
        <v>45897</v>
      </c>
      <c r="H45" s="13" t="s">
        <v>6</v>
      </c>
      <c r="I45">
        <v>82</v>
      </c>
      <c r="J45" s="13" t="s">
        <v>59</v>
      </c>
      <c r="K45">
        <v>235</v>
      </c>
      <c r="L45" s="4">
        <f t="shared" si="5"/>
        <v>2.8658536585365852</v>
      </c>
      <c r="M45" s="14" t="s">
        <v>13</v>
      </c>
      <c r="O45">
        <v>15</v>
      </c>
      <c r="P45" s="6">
        <v>17621</v>
      </c>
      <c r="Q45" s="6">
        <v>4709</v>
      </c>
      <c r="R45" s="6">
        <v>3532</v>
      </c>
      <c r="S45" s="6">
        <f>+SUM(P45:R45)</f>
        <v>25862</v>
      </c>
      <c r="T45" s="6">
        <f t="shared" si="6"/>
        <v>26402.941176470584</v>
      </c>
      <c r="U45" s="22">
        <f t="shared" si="7"/>
        <v>-2.048791355686741E-2</v>
      </c>
      <c r="V45" t="s">
        <v>244</v>
      </c>
      <c r="W45" s="6">
        <v>191</v>
      </c>
      <c r="X45" s="6">
        <v>1</v>
      </c>
      <c r="Y45" s="9">
        <v>5.5</v>
      </c>
      <c r="Z45">
        <v>2</v>
      </c>
      <c r="AA45">
        <v>2.64</v>
      </c>
      <c r="AB45" t="s">
        <v>20</v>
      </c>
      <c r="AC45">
        <v>70</v>
      </c>
      <c r="AE45">
        <v>0.32</v>
      </c>
      <c r="AF45">
        <v>0.4</v>
      </c>
      <c r="AG45">
        <v>1.5</v>
      </c>
      <c r="AH45">
        <v>0.26</v>
      </c>
      <c r="AI45">
        <v>0.8</v>
      </c>
      <c r="AJ45">
        <v>0.85</v>
      </c>
      <c r="AL45">
        <v>191</v>
      </c>
      <c r="AN45" s="4">
        <v>0.8</v>
      </c>
      <c r="AO45">
        <v>0.94</v>
      </c>
      <c r="AP45">
        <v>1984</v>
      </c>
      <c r="AT45" s="4">
        <v>0.2</v>
      </c>
      <c r="AU45">
        <v>0.64</v>
      </c>
      <c r="AV45">
        <v>1984</v>
      </c>
      <c r="AW45" s="4">
        <v>1</v>
      </c>
      <c r="AX45">
        <v>0.93</v>
      </c>
      <c r="AY45">
        <v>1984</v>
      </c>
      <c r="BF45">
        <v>32</v>
      </c>
      <c r="BG45">
        <v>0.7</v>
      </c>
    </row>
    <row r="46" spans="1:75" x14ac:dyDescent="0.35">
      <c r="A46">
        <v>71</v>
      </c>
      <c r="B46" t="s">
        <v>172</v>
      </c>
      <c r="D46">
        <v>1979</v>
      </c>
      <c r="E46" t="s">
        <v>12</v>
      </c>
      <c r="F46" t="s">
        <v>88</v>
      </c>
      <c r="G46" s="1">
        <v>45827</v>
      </c>
      <c r="H46" s="13" t="s">
        <v>59</v>
      </c>
      <c r="I46">
        <v>105</v>
      </c>
      <c r="J46" s="13" t="s">
        <v>59</v>
      </c>
      <c r="K46">
        <v>253</v>
      </c>
      <c r="L46" s="4">
        <f t="shared" si="5"/>
        <v>2.4095238095238094</v>
      </c>
      <c r="M46" s="14" t="s">
        <v>13</v>
      </c>
      <c r="O46">
        <v>15</v>
      </c>
      <c r="P46" s="6">
        <v>15900</v>
      </c>
      <c r="S46" s="6">
        <v>15900</v>
      </c>
      <c r="T46" s="6">
        <f t="shared" si="6"/>
        <v>24920.5</v>
      </c>
      <c r="U46" s="22">
        <f t="shared" si="7"/>
        <v>-0.36197106799622802</v>
      </c>
      <c r="V46" t="s">
        <v>245</v>
      </c>
      <c r="W46" s="6">
        <v>197</v>
      </c>
      <c r="X46" s="6">
        <v>1</v>
      </c>
      <c r="Y46" s="9">
        <v>6</v>
      </c>
      <c r="Z46">
        <v>3</v>
      </c>
      <c r="AA46">
        <v>2.12</v>
      </c>
      <c r="AB46" t="s">
        <v>20</v>
      </c>
      <c r="AC46">
        <v>71</v>
      </c>
      <c r="AD46">
        <v>0.4</v>
      </c>
      <c r="AE46">
        <v>0.6</v>
      </c>
      <c r="AG46">
        <v>1.5</v>
      </c>
      <c r="AJ46">
        <v>0.6</v>
      </c>
      <c r="AL46">
        <v>197</v>
      </c>
      <c r="AN46" s="4">
        <v>1</v>
      </c>
      <c r="AO46">
        <v>0.94</v>
      </c>
      <c r="AP46">
        <v>1979</v>
      </c>
      <c r="AW46" s="4">
        <v>1</v>
      </c>
      <c r="AX46">
        <v>0.93</v>
      </c>
      <c r="AY46">
        <v>1979</v>
      </c>
      <c r="BF46">
        <v>42</v>
      </c>
      <c r="BJ46">
        <v>11082</v>
      </c>
      <c r="BK46">
        <v>8964</v>
      </c>
      <c r="BO46">
        <v>107</v>
      </c>
    </row>
    <row r="47" spans="1:75" x14ac:dyDescent="0.35">
      <c r="A47">
        <v>72</v>
      </c>
      <c r="B47" t="s">
        <v>172</v>
      </c>
      <c r="D47">
        <v>1984</v>
      </c>
      <c r="E47" t="s">
        <v>12</v>
      </c>
      <c r="F47" t="s">
        <v>132</v>
      </c>
      <c r="G47" s="1">
        <v>45609</v>
      </c>
      <c r="H47" s="13" t="s">
        <v>59</v>
      </c>
      <c r="I47">
        <v>84</v>
      </c>
      <c r="J47" s="13" t="s">
        <v>81</v>
      </c>
      <c r="K47">
        <v>253</v>
      </c>
      <c r="L47" s="4">
        <f t="shared" si="5"/>
        <v>3.0119047619047619</v>
      </c>
      <c r="M47" s="14" t="s">
        <v>13</v>
      </c>
      <c r="O47">
        <v>16</v>
      </c>
      <c r="P47" s="6">
        <f>+S47-R47-Q47</f>
        <v>6630</v>
      </c>
      <c r="Q47" s="6">
        <v>3000</v>
      </c>
      <c r="R47" s="6">
        <v>3500</v>
      </c>
      <c r="S47" s="6">
        <v>13130</v>
      </c>
      <c r="T47" s="6">
        <f t="shared" si="6"/>
        <v>20493</v>
      </c>
      <c r="U47" s="22">
        <f t="shared" si="7"/>
        <v>-0.35929341726443176</v>
      </c>
      <c r="V47" t="s">
        <v>246</v>
      </c>
      <c r="W47" s="6">
        <v>162</v>
      </c>
      <c r="X47" s="6">
        <v>1</v>
      </c>
      <c r="Y47" s="9">
        <v>6</v>
      </c>
      <c r="Z47">
        <v>4</v>
      </c>
      <c r="AA47">
        <v>1.58</v>
      </c>
      <c r="AB47" t="s">
        <v>20</v>
      </c>
      <c r="AC47">
        <v>72</v>
      </c>
      <c r="AD47">
        <v>0.44</v>
      </c>
      <c r="AE47">
        <v>0.45</v>
      </c>
      <c r="AG47">
        <v>1.6</v>
      </c>
      <c r="AJ47">
        <v>1.4</v>
      </c>
      <c r="AL47">
        <v>162</v>
      </c>
      <c r="AN47" s="4">
        <v>1</v>
      </c>
      <c r="AO47">
        <v>0.94</v>
      </c>
      <c r="AP47">
        <v>1984</v>
      </c>
      <c r="AW47" s="4">
        <v>1</v>
      </c>
      <c r="AX47">
        <v>0.93</v>
      </c>
      <c r="AY47">
        <v>1984</v>
      </c>
      <c r="BF47">
        <v>35</v>
      </c>
    </row>
    <row r="48" spans="1:75" x14ac:dyDescent="0.35">
      <c r="A48">
        <v>73</v>
      </c>
      <c r="B48" t="s">
        <v>172</v>
      </c>
      <c r="D48">
        <v>1984</v>
      </c>
      <c r="E48" t="s">
        <v>12</v>
      </c>
      <c r="F48" t="s">
        <v>132</v>
      </c>
      <c r="G48" s="1">
        <v>45609</v>
      </c>
      <c r="H48" s="13" t="s">
        <v>59</v>
      </c>
      <c r="I48">
        <v>69</v>
      </c>
      <c r="J48" s="13" t="s">
        <v>59</v>
      </c>
      <c r="K48">
        <v>198</v>
      </c>
      <c r="L48" s="4">
        <f t="shared" si="5"/>
        <v>2.8695652173913042</v>
      </c>
      <c r="M48" s="14" t="s">
        <v>13</v>
      </c>
      <c r="O48">
        <v>12</v>
      </c>
      <c r="P48" s="6">
        <f>+S48-R48-Q48</f>
        <v>5500</v>
      </c>
      <c r="Q48" s="6">
        <v>700</v>
      </c>
      <c r="R48" s="6">
        <v>3500</v>
      </c>
      <c r="S48" s="6">
        <v>9700</v>
      </c>
      <c r="T48" s="6">
        <f t="shared" si="6"/>
        <v>16038</v>
      </c>
      <c r="U48" s="22">
        <f t="shared" si="7"/>
        <v>-0.39518643222346928</v>
      </c>
      <c r="V48" t="s">
        <v>246</v>
      </c>
      <c r="W48" s="6">
        <v>162</v>
      </c>
      <c r="X48" s="6">
        <v>1</v>
      </c>
      <c r="Y48" s="9">
        <v>6</v>
      </c>
      <c r="Z48">
        <v>4</v>
      </c>
      <c r="AA48">
        <v>1.18</v>
      </c>
      <c r="AB48" t="s">
        <v>20</v>
      </c>
      <c r="AC48">
        <v>73</v>
      </c>
      <c r="AD48">
        <v>0.44</v>
      </c>
      <c r="AE48">
        <v>0.45</v>
      </c>
      <c r="AG48">
        <v>1.6</v>
      </c>
      <c r="AJ48">
        <v>1.4</v>
      </c>
      <c r="AL48">
        <v>162</v>
      </c>
      <c r="AN48" s="4">
        <v>1</v>
      </c>
      <c r="AO48">
        <v>0.94</v>
      </c>
      <c r="AP48">
        <v>1984</v>
      </c>
      <c r="AZ48">
        <v>100</v>
      </c>
      <c r="BA48">
        <v>2.8</v>
      </c>
      <c r="BB48">
        <v>2021</v>
      </c>
      <c r="BF48">
        <v>29</v>
      </c>
    </row>
    <row r="49" spans="1:78" x14ac:dyDescent="0.35">
      <c r="A49">
        <v>74</v>
      </c>
      <c r="B49" t="s">
        <v>172</v>
      </c>
      <c r="D49">
        <v>1984</v>
      </c>
      <c r="E49" t="s">
        <v>12</v>
      </c>
      <c r="F49" t="s">
        <v>132</v>
      </c>
      <c r="G49" s="1">
        <v>45609</v>
      </c>
      <c r="H49" s="13" t="s">
        <v>59</v>
      </c>
      <c r="I49">
        <v>84</v>
      </c>
      <c r="J49" s="13" t="s">
        <v>59</v>
      </c>
      <c r="K49">
        <v>234</v>
      </c>
      <c r="L49" s="4">
        <f t="shared" si="5"/>
        <v>2.7857142857142856</v>
      </c>
      <c r="M49" s="14" t="s">
        <v>13</v>
      </c>
      <c r="O49">
        <v>15</v>
      </c>
      <c r="S49" s="6">
        <v>11700</v>
      </c>
      <c r="T49" s="6">
        <f t="shared" si="6"/>
        <v>18954</v>
      </c>
      <c r="U49" s="22">
        <f t="shared" si="7"/>
        <v>-0.38271604938271608</v>
      </c>
      <c r="V49" t="s">
        <v>246</v>
      </c>
      <c r="W49" s="6">
        <v>162</v>
      </c>
      <c r="X49" s="6">
        <v>1</v>
      </c>
      <c r="Y49" s="9">
        <v>6</v>
      </c>
      <c r="Z49">
        <v>4</v>
      </c>
      <c r="AA49">
        <v>1.58</v>
      </c>
      <c r="AB49" t="s">
        <v>20</v>
      </c>
      <c r="AC49">
        <v>74</v>
      </c>
      <c r="AD49">
        <v>0.44</v>
      </c>
      <c r="AE49">
        <v>0.45</v>
      </c>
      <c r="AG49">
        <v>1.6</v>
      </c>
      <c r="AJ49">
        <v>1.4</v>
      </c>
      <c r="AL49">
        <v>162</v>
      </c>
      <c r="AN49" s="4">
        <v>1</v>
      </c>
      <c r="AO49">
        <v>0.94</v>
      </c>
      <c r="AP49">
        <v>1984</v>
      </c>
      <c r="AW49" s="4">
        <v>1</v>
      </c>
      <c r="AX49">
        <v>0.93</v>
      </c>
      <c r="AY49">
        <v>1984</v>
      </c>
      <c r="BF49">
        <v>35</v>
      </c>
      <c r="BG49">
        <v>0.7</v>
      </c>
    </row>
    <row r="50" spans="1:78" x14ac:dyDescent="0.35">
      <c r="A50">
        <v>75</v>
      </c>
      <c r="B50" t="s">
        <v>172</v>
      </c>
      <c r="D50">
        <v>1984</v>
      </c>
      <c r="E50" t="s">
        <v>12</v>
      </c>
      <c r="F50" t="s">
        <v>132</v>
      </c>
      <c r="G50" s="1">
        <v>45609</v>
      </c>
      <c r="H50" s="13" t="s">
        <v>59</v>
      </c>
      <c r="I50">
        <v>69</v>
      </c>
      <c r="J50" s="13" t="s">
        <v>59</v>
      </c>
      <c r="K50">
        <v>222</v>
      </c>
      <c r="L50" s="4">
        <f t="shared" si="5"/>
        <v>3.2173913043478262</v>
      </c>
      <c r="M50" s="14" t="s">
        <v>13</v>
      </c>
      <c r="O50">
        <v>14</v>
      </c>
      <c r="S50" s="6">
        <v>19230</v>
      </c>
      <c r="T50" s="6">
        <f t="shared" si="6"/>
        <v>17982</v>
      </c>
      <c r="U50" s="22">
        <f t="shared" si="7"/>
        <v>6.9402736069402726E-2</v>
      </c>
      <c r="V50" t="s">
        <v>246</v>
      </c>
      <c r="W50" s="6">
        <v>162</v>
      </c>
      <c r="X50" s="6">
        <v>1</v>
      </c>
      <c r="Y50" s="9">
        <v>6</v>
      </c>
      <c r="Z50">
        <v>4</v>
      </c>
      <c r="AA50">
        <v>1.18</v>
      </c>
      <c r="AB50" t="s">
        <v>20</v>
      </c>
      <c r="AC50">
        <v>75</v>
      </c>
      <c r="AD50">
        <v>0.44</v>
      </c>
      <c r="AE50">
        <v>0.45</v>
      </c>
      <c r="AG50">
        <v>1.6</v>
      </c>
      <c r="AJ50">
        <v>1.4</v>
      </c>
      <c r="AL50">
        <v>162</v>
      </c>
      <c r="AN50" s="4">
        <v>1</v>
      </c>
      <c r="AO50">
        <v>0.94</v>
      </c>
      <c r="AP50">
        <v>1984</v>
      </c>
      <c r="AW50" s="4">
        <v>1</v>
      </c>
      <c r="AX50">
        <v>0.93</v>
      </c>
      <c r="AY50">
        <v>1984</v>
      </c>
      <c r="BF50">
        <v>29</v>
      </c>
      <c r="BG50">
        <v>0.7</v>
      </c>
    </row>
    <row r="51" spans="1:78" x14ac:dyDescent="0.35">
      <c r="A51">
        <v>76</v>
      </c>
      <c r="B51" t="s">
        <v>100</v>
      </c>
      <c r="D51">
        <v>1984</v>
      </c>
      <c r="E51" t="s">
        <v>12</v>
      </c>
      <c r="F51" t="s">
        <v>270</v>
      </c>
      <c r="G51" s="1">
        <v>44827</v>
      </c>
      <c r="H51" s="13" t="s">
        <v>58</v>
      </c>
      <c r="I51">
        <v>119</v>
      </c>
      <c r="J51" s="13" t="s">
        <v>59</v>
      </c>
      <c r="K51">
        <v>251</v>
      </c>
      <c r="L51" s="4">
        <f t="shared" si="5"/>
        <v>2.1092436974789917</v>
      </c>
      <c r="M51" s="14" t="s">
        <v>13</v>
      </c>
      <c r="O51">
        <v>16</v>
      </c>
      <c r="S51" s="6">
        <v>42260</v>
      </c>
      <c r="T51" s="6">
        <f t="shared" si="6"/>
        <v>32155.135135135133</v>
      </c>
      <c r="U51" s="22">
        <f t="shared" si="7"/>
        <v>0.31425353438566428</v>
      </c>
      <c r="V51" t="s">
        <v>251</v>
      </c>
      <c r="W51" s="6">
        <v>237</v>
      </c>
      <c r="X51" s="6">
        <v>1</v>
      </c>
      <c r="Y51" s="9">
        <v>5.5</v>
      </c>
      <c r="Z51">
        <v>2</v>
      </c>
      <c r="AA51">
        <v>3.05</v>
      </c>
      <c r="AB51" t="s">
        <v>20</v>
      </c>
      <c r="AC51">
        <v>76</v>
      </c>
      <c r="AD51">
        <v>0.15</v>
      </c>
      <c r="AE51">
        <v>0.6</v>
      </c>
      <c r="AF51">
        <v>0.67</v>
      </c>
      <c r="AG51" s="18">
        <v>1.5</v>
      </c>
      <c r="AI51">
        <v>1.3</v>
      </c>
      <c r="AJ51">
        <v>0.56999999999999995</v>
      </c>
      <c r="AL51">
        <v>237</v>
      </c>
      <c r="AN51" s="4">
        <v>0.9</v>
      </c>
      <c r="AO51">
        <v>0.93</v>
      </c>
      <c r="AP51">
        <v>2005</v>
      </c>
      <c r="AT51" s="4">
        <v>0.1</v>
      </c>
      <c r="AU51">
        <v>0.6</v>
      </c>
      <c r="AV51">
        <v>2018</v>
      </c>
      <c r="AW51" s="4">
        <v>1</v>
      </c>
      <c r="AX51">
        <v>0.93</v>
      </c>
      <c r="AY51">
        <v>2002</v>
      </c>
      <c r="BF51">
        <v>56</v>
      </c>
      <c r="BG51">
        <v>0.7</v>
      </c>
      <c r="BH51" t="s">
        <v>83</v>
      </c>
      <c r="BJ51">
        <v>9570</v>
      </c>
      <c r="BK51">
        <v>9570</v>
      </c>
    </row>
    <row r="52" spans="1:78" x14ac:dyDescent="0.35">
      <c r="A52">
        <v>80</v>
      </c>
      <c r="B52" t="s">
        <v>100</v>
      </c>
      <c r="D52">
        <v>1986</v>
      </c>
      <c r="E52" t="s">
        <v>12</v>
      </c>
      <c r="F52" t="s">
        <v>272</v>
      </c>
      <c r="G52" s="1">
        <v>43966</v>
      </c>
      <c r="H52" s="13" t="s">
        <v>58</v>
      </c>
      <c r="I52">
        <v>64</v>
      </c>
      <c r="J52" s="13" t="s">
        <v>59</v>
      </c>
      <c r="K52">
        <v>214</v>
      </c>
      <c r="L52" s="4">
        <f t="shared" si="5"/>
        <v>3.34375</v>
      </c>
      <c r="N52">
        <v>16</v>
      </c>
      <c r="P52" s="6">
        <v>11170</v>
      </c>
      <c r="Q52" s="6">
        <v>4000</v>
      </c>
      <c r="R52" s="6">
        <v>3340</v>
      </c>
      <c r="S52" s="6">
        <f>+SUM(P52:R52)</f>
        <v>18510</v>
      </c>
      <c r="T52" s="6">
        <f t="shared" si="6"/>
        <v>20865</v>
      </c>
      <c r="U52" s="22">
        <f t="shared" si="7"/>
        <v>-0.11286843997124374</v>
      </c>
      <c r="V52" t="s">
        <v>251</v>
      </c>
      <c r="W52" s="6">
        <v>195</v>
      </c>
      <c r="X52" s="6">
        <v>1</v>
      </c>
      <c r="Y52" s="9">
        <v>5.5</v>
      </c>
      <c r="Z52">
        <v>2</v>
      </c>
      <c r="AA52" s="21">
        <v>1.49</v>
      </c>
      <c r="AB52" t="s">
        <v>20</v>
      </c>
      <c r="AC52">
        <v>80</v>
      </c>
      <c r="AD52">
        <v>0.45</v>
      </c>
      <c r="AE52">
        <v>0.42</v>
      </c>
      <c r="AG52" s="18">
        <v>1.5</v>
      </c>
      <c r="AI52">
        <v>0.8</v>
      </c>
      <c r="AJ52">
        <v>0.8</v>
      </c>
      <c r="AL52">
        <v>195</v>
      </c>
      <c r="AN52" s="4">
        <v>1</v>
      </c>
      <c r="AO52">
        <v>0.94</v>
      </c>
      <c r="AP52">
        <v>1981</v>
      </c>
      <c r="AW52" s="4">
        <v>1</v>
      </c>
      <c r="AX52">
        <v>0.93</v>
      </c>
      <c r="AY52">
        <v>2010</v>
      </c>
      <c r="BF52">
        <v>27</v>
      </c>
      <c r="BG52">
        <v>0.7</v>
      </c>
      <c r="BH52" t="s">
        <v>83</v>
      </c>
      <c r="BI52" t="s">
        <v>83</v>
      </c>
      <c r="BM52">
        <v>42</v>
      </c>
      <c r="BN52">
        <v>33</v>
      </c>
      <c r="BO52">
        <v>101</v>
      </c>
      <c r="BQ52" t="s">
        <v>256</v>
      </c>
      <c r="BS52" t="s">
        <v>257</v>
      </c>
      <c r="BU52" t="s">
        <v>216</v>
      </c>
      <c r="BW52" t="s">
        <v>68</v>
      </c>
    </row>
    <row r="53" spans="1:78" x14ac:dyDescent="0.35">
      <c r="A53">
        <v>81</v>
      </c>
      <c r="B53" t="s">
        <v>100</v>
      </c>
      <c r="D53">
        <v>1978</v>
      </c>
      <c r="E53" t="s">
        <v>12</v>
      </c>
      <c r="F53" t="s">
        <v>222</v>
      </c>
      <c r="G53" s="1">
        <v>42768</v>
      </c>
      <c r="H53" s="13" t="s">
        <v>81</v>
      </c>
      <c r="I53">
        <v>124</v>
      </c>
      <c r="J53" s="13" t="s">
        <v>80</v>
      </c>
      <c r="K53">
        <v>368</v>
      </c>
      <c r="L53" s="4">
        <f t="shared" si="5"/>
        <v>2.967741935483871</v>
      </c>
      <c r="N53">
        <v>29</v>
      </c>
      <c r="P53" s="6">
        <v>10150</v>
      </c>
      <c r="Q53" s="6">
        <v>2540</v>
      </c>
      <c r="R53" s="6">
        <v>3000</v>
      </c>
      <c r="S53" s="6">
        <f>+SUM(P53:R53)</f>
        <v>15690</v>
      </c>
      <c r="T53" s="6">
        <f t="shared" si="6"/>
        <v>25760</v>
      </c>
      <c r="U53" s="22">
        <f t="shared" si="7"/>
        <v>-0.39091614906832295</v>
      </c>
      <c r="V53" t="s">
        <v>258</v>
      </c>
      <c r="W53" s="6">
        <v>140</v>
      </c>
      <c r="X53" s="6">
        <v>1</v>
      </c>
      <c r="Y53" s="9">
        <v>5.5</v>
      </c>
      <c r="Z53">
        <v>3</v>
      </c>
      <c r="AA53" s="21">
        <v>1.74</v>
      </c>
      <c r="AB53" t="s">
        <v>20</v>
      </c>
      <c r="AC53">
        <v>81</v>
      </c>
      <c r="AD53">
        <v>0.36</v>
      </c>
      <c r="AE53">
        <v>0.42</v>
      </c>
      <c r="AG53" s="18">
        <v>1.7</v>
      </c>
      <c r="AJ53">
        <v>0.97</v>
      </c>
      <c r="AL53">
        <v>140</v>
      </c>
      <c r="AN53" s="4">
        <v>1</v>
      </c>
      <c r="AO53">
        <v>0.93</v>
      </c>
      <c r="AP53">
        <v>2008</v>
      </c>
      <c r="AW53" s="4">
        <v>1</v>
      </c>
      <c r="AX53">
        <v>0.93</v>
      </c>
      <c r="AY53">
        <v>2008</v>
      </c>
      <c r="BF53">
        <v>46</v>
      </c>
      <c r="BG53">
        <v>0.7</v>
      </c>
      <c r="BH53" t="s">
        <v>83</v>
      </c>
      <c r="BM53">
        <v>46</v>
      </c>
      <c r="BN53">
        <v>37</v>
      </c>
      <c r="BO53">
        <v>105</v>
      </c>
      <c r="BR53" t="s">
        <v>259</v>
      </c>
      <c r="BS53" t="s">
        <v>260</v>
      </c>
      <c r="BV53" t="s">
        <v>216</v>
      </c>
      <c r="BW53" t="s">
        <v>68</v>
      </c>
    </row>
    <row r="54" spans="1:78" x14ac:dyDescent="0.35">
      <c r="A54">
        <v>84</v>
      </c>
      <c r="B54" t="s">
        <v>99</v>
      </c>
      <c r="D54">
        <v>1979</v>
      </c>
      <c r="E54" t="s">
        <v>12</v>
      </c>
      <c r="F54" t="s">
        <v>273</v>
      </c>
      <c r="G54" s="1">
        <v>45905</v>
      </c>
      <c r="H54" s="13" t="s">
        <v>58</v>
      </c>
      <c r="I54">
        <v>78</v>
      </c>
      <c r="J54" s="13" t="s">
        <v>58</v>
      </c>
      <c r="K54">
        <v>162</v>
      </c>
      <c r="L54" s="4">
        <f t="shared" si="5"/>
        <v>2.0769230769230771</v>
      </c>
      <c r="M54" s="14" t="s">
        <v>13</v>
      </c>
      <c r="N54">
        <v>10</v>
      </c>
      <c r="P54" s="6">
        <v>12390</v>
      </c>
      <c r="Q54" s="6">
        <v>2000</v>
      </c>
      <c r="R54" s="6">
        <v>3430</v>
      </c>
      <c r="S54" s="6">
        <f>+SUM(P54:R54)</f>
        <v>17820</v>
      </c>
      <c r="T54" s="6">
        <f t="shared" si="6"/>
        <v>15147</v>
      </c>
      <c r="U54" s="22">
        <f t="shared" si="7"/>
        <v>0.17647058823529416</v>
      </c>
      <c r="V54" t="s">
        <v>275</v>
      </c>
      <c r="W54" s="6">
        <v>187</v>
      </c>
      <c r="X54" s="6">
        <v>1</v>
      </c>
      <c r="Y54" s="9">
        <v>6</v>
      </c>
      <c r="Z54">
        <v>3</v>
      </c>
      <c r="AA54" s="21">
        <v>2.0699999999999998</v>
      </c>
      <c r="AB54" t="s">
        <v>20</v>
      </c>
      <c r="AC54">
        <v>84</v>
      </c>
      <c r="AD54">
        <v>0.35</v>
      </c>
      <c r="AE54">
        <v>0.15</v>
      </c>
      <c r="AF54">
        <v>1.1000000000000001</v>
      </c>
      <c r="AG54" s="18">
        <v>1.5</v>
      </c>
      <c r="AJ54">
        <v>1.1000000000000001</v>
      </c>
      <c r="AL54">
        <v>187</v>
      </c>
      <c r="AN54" s="4">
        <v>1</v>
      </c>
      <c r="AO54">
        <v>1</v>
      </c>
      <c r="AP54">
        <v>2015</v>
      </c>
      <c r="AW54" s="4">
        <v>1</v>
      </c>
      <c r="AX54">
        <v>0.93</v>
      </c>
      <c r="AY54">
        <v>1988</v>
      </c>
      <c r="BF54">
        <v>27</v>
      </c>
      <c r="BG54">
        <v>0.7</v>
      </c>
      <c r="BH54" t="s">
        <v>40</v>
      </c>
      <c r="BI54" t="s">
        <v>40</v>
      </c>
      <c r="BM54">
        <v>51</v>
      </c>
      <c r="BN54">
        <v>41</v>
      </c>
      <c r="BO54">
        <v>110</v>
      </c>
      <c r="BP54" t="s">
        <v>87</v>
      </c>
      <c r="BQ54" t="s">
        <v>65</v>
      </c>
      <c r="BR54" t="s">
        <v>66</v>
      </c>
      <c r="BS54">
        <v>2</v>
      </c>
      <c r="BV54" t="s">
        <v>216</v>
      </c>
      <c r="BW54" t="s">
        <v>68</v>
      </c>
    </row>
    <row r="55" spans="1:78" x14ac:dyDescent="0.35">
      <c r="A55">
        <v>85</v>
      </c>
      <c r="B55" t="s">
        <v>100</v>
      </c>
      <c r="D55">
        <v>1982</v>
      </c>
      <c r="E55" t="s">
        <v>12</v>
      </c>
      <c r="F55" t="s">
        <v>179</v>
      </c>
      <c r="G55" s="1">
        <v>45336</v>
      </c>
      <c r="H55" s="13" t="s">
        <v>58</v>
      </c>
      <c r="I55">
        <v>96</v>
      </c>
      <c r="J55" s="13" t="s">
        <v>58</v>
      </c>
      <c r="K55">
        <v>212</v>
      </c>
      <c r="L55" s="4">
        <f t="shared" si="5"/>
        <v>2.2083333333333335</v>
      </c>
      <c r="M55" s="14" t="s">
        <v>13</v>
      </c>
      <c r="N55">
        <v>12</v>
      </c>
      <c r="P55" s="6">
        <v>9840</v>
      </c>
      <c r="Q55" s="6">
        <v>3100</v>
      </c>
      <c r="R55" s="6">
        <v>6800</v>
      </c>
      <c r="S55" s="6">
        <f>+SUM(P55:R55)</f>
        <v>19740</v>
      </c>
      <c r="T55" s="6">
        <f t="shared" si="6"/>
        <v>19939.45945945946</v>
      </c>
      <c r="U55" s="22">
        <f t="shared" si="7"/>
        <v>-1.0003253090435926E-2</v>
      </c>
      <c r="V55" t="s">
        <v>261</v>
      </c>
      <c r="W55" s="6">
        <v>174</v>
      </c>
      <c r="X55" s="6">
        <v>1</v>
      </c>
      <c r="Y55" s="9">
        <v>4.5</v>
      </c>
      <c r="Z55">
        <v>2</v>
      </c>
      <c r="AA55" s="21">
        <v>2.2599999999999998</v>
      </c>
      <c r="AB55" t="s">
        <v>20</v>
      </c>
      <c r="AC55">
        <v>85</v>
      </c>
      <c r="AD55">
        <v>0.39</v>
      </c>
      <c r="AE55">
        <v>0.35</v>
      </c>
      <c r="AG55" s="18">
        <v>1.9</v>
      </c>
      <c r="AH55">
        <v>0.2</v>
      </c>
      <c r="AI55">
        <v>0.95</v>
      </c>
      <c r="AJ55">
        <v>1.9</v>
      </c>
      <c r="AL55">
        <v>174</v>
      </c>
      <c r="AN55" s="4">
        <v>0.9</v>
      </c>
      <c r="AO55">
        <v>1</v>
      </c>
      <c r="AP55">
        <v>1982</v>
      </c>
      <c r="AT55" s="4">
        <v>0.1</v>
      </c>
      <c r="AU55">
        <v>0.8</v>
      </c>
      <c r="AV55">
        <v>2015</v>
      </c>
      <c r="AW55" s="4">
        <v>1</v>
      </c>
      <c r="AX55">
        <v>0.93</v>
      </c>
      <c r="AY55">
        <v>2015</v>
      </c>
      <c r="BF55">
        <v>37</v>
      </c>
      <c r="BG55">
        <v>0.7</v>
      </c>
      <c r="BH55" t="s">
        <v>40</v>
      </c>
      <c r="BJ55">
        <v>12000</v>
      </c>
      <c r="BK55">
        <v>6240</v>
      </c>
    </row>
    <row r="56" spans="1:78" x14ac:dyDescent="0.35">
      <c r="A56">
        <v>86</v>
      </c>
      <c r="B56" t="s">
        <v>99</v>
      </c>
      <c r="D56">
        <v>1979</v>
      </c>
      <c r="E56" t="s">
        <v>12</v>
      </c>
      <c r="F56" t="s">
        <v>274</v>
      </c>
      <c r="G56" s="1">
        <v>45905</v>
      </c>
      <c r="H56" s="13" t="s">
        <v>58</v>
      </c>
      <c r="I56">
        <v>78</v>
      </c>
      <c r="J56" s="13" t="s">
        <v>58</v>
      </c>
      <c r="K56">
        <v>162</v>
      </c>
      <c r="L56" s="4">
        <f t="shared" si="5"/>
        <v>2.0769230769230771</v>
      </c>
      <c r="M56" s="14" t="s">
        <v>13</v>
      </c>
      <c r="N56">
        <v>10</v>
      </c>
      <c r="P56" s="6">
        <v>10509</v>
      </c>
      <c r="Q56" s="6">
        <v>1225</v>
      </c>
      <c r="R56" s="6">
        <v>3159</v>
      </c>
      <c r="S56" s="6">
        <v>14893</v>
      </c>
      <c r="T56" s="6">
        <f t="shared" si="6"/>
        <v>12960</v>
      </c>
      <c r="U56" s="22">
        <f t="shared" si="7"/>
        <v>0.14915123456790114</v>
      </c>
      <c r="V56" t="s">
        <v>163</v>
      </c>
      <c r="W56" s="6">
        <v>160</v>
      </c>
      <c r="X56" s="6">
        <v>1</v>
      </c>
      <c r="Y56" s="9">
        <v>6</v>
      </c>
      <c r="Z56">
        <v>3</v>
      </c>
      <c r="AA56" s="21">
        <v>1.88</v>
      </c>
      <c r="AB56" t="s">
        <v>20</v>
      </c>
      <c r="AC56">
        <v>86</v>
      </c>
      <c r="AD56">
        <v>0.11</v>
      </c>
      <c r="AE56">
        <v>0.36</v>
      </c>
      <c r="AF56">
        <v>2.5</v>
      </c>
      <c r="AG56" s="18">
        <v>1.4</v>
      </c>
      <c r="AJ56">
        <v>0.77</v>
      </c>
      <c r="AL56">
        <v>160</v>
      </c>
      <c r="AN56" s="4">
        <v>1</v>
      </c>
      <c r="AO56">
        <v>1</v>
      </c>
      <c r="AP56">
        <v>2000</v>
      </c>
      <c r="AZ56">
        <v>100</v>
      </c>
      <c r="BA56">
        <v>2.8</v>
      </c>
      <c r="BB56">
        <v>2016</v>
      </c>
      <c r="BF56">
        <v>27</v>
      </c>
      <c r="BG56">
        <v>0.7</v>
      </c>
      <c r="BJ56">
        <v>7876</v>
      </c>
      <c r="BK56">
        <v>2048</v>
      </c>
    </row>
    <row r="57" spans="1:78" x14ac:dyDescent="0.35">
      <c r="A57">
        <v>33</v>
      </c>
      <c r="B57" t="s">
        <v>99</v>
      </c>
      <c r="C57" t="s">
        <v>88</v>
      </c>
      <c r="D57">
        <v>1988</v>
      </c>
      <c r="E57" t="s">
        <v>12</v>
      </c>
      <c r="F57" t="s">
        <v>88</v>
      </c>
      <c r="G57" s="1">
        <f>+DATE(2023,8,14)</f>
        <v>45152</v>
      </c>
      <c r="H57" s="13" t="s">
        <v>58</v>
      </c>
      <c r="I57">
        <v>75</v>
      </c>
      <c r="J57" s="13" t="s">
        <v>58</v>
      </c>
      <c r="K57">
        <v>132</v>
      </c>
      <c r="L57" s="4">
        <f t="shared" si="5"/>
        <v>1.76</v>
      </c>
      <c r="M57" s="14" t="s">
        <v>13</v>
      </c>
      <c r="O57">
        <v>9</v>
      </c>
      <c r="P57" s="6">
        <v>15509</v>
      </c>
      <c r="Q57" s="6">
        <v>1276</v>
      </c>
      <c r="R57" s="6">
        <v>3468</v>
      </c>
      <c r="S57" s="6">
        <f>+SUM(P57:R57)</f>
        <v>20253</v>
      </c>
      <c r="T57" s="6">
        <f t="shared" si="6"/>
        <v>13530</v>
      </c>
      <c r="U57" s="22">
        <f t="shared" si="7"/>
        <v>0.49689578713968952</v>
      </c>
      <c r="V57" t="s">
        <v>192</v>
      </c>
      <c r="W57" s="6">
        <v>205</v>
      </c>
      <c r="X57" s="6">
        <v>1</v>
      </c>
      <c r="Y57" s="9">
        <v>5.5</v>
      </c>
      <c r="Z57">
        <v>2</v>
      </c>
      <c r="AA57">
        <v>2.1</v>
      </c>
      <c r="AB57" t="s">
        <v>276</v>
      </c>
      <c r="AC57">
        <v>33</v>
      </c>
      <c r="AD57">
        <v>0.39</v>
      </c>
      <c r="AE57">
        <v>0.35</v>
      </c>
      <c r="AF57">
        <v>2.5</v>
      </c>
      <c r="AG57">
        <v>1.2</v>
      </c>
      <c r="AJ57">
        <v>0.35</v>
      </c>
      <c r="AL57">
        <v>205</v>
      </c>
      <c r="AN57" s="4">
        <v>1</v>
      </c>
      <c r="AS57">
        <v>2017</v>
      </c>
      <c r="BC57" t="s">
        <v>287</v>
      </c>
      <c r="BD57" t="s">
        <v>287</v>
      </c>
      <c r="BE57" t="s">
        <v>287</v>
      </c>
    </row>
    <row r="58" spans="1:78" x14ac:dyDescent="0.35">
      <c r="A58">
        <v>16</v>
      </c>
      <c r="B58" t="s">
        <v>99</v>
      </c>
      <c r="C58" t="s">
        <v>96</v>
      </c>
      <c r="D58">
        <v>1978</v>
      </c>
      <c r="E58" t="s">
        <v>12</v>
      </c>
      <c r="F58" t="s">
        <v>96</v>
      </c>
      <c r="G58" s="1">
        <f>+DATE(2017,6,30)</f>
        <v>42916</v>
      </c>
      <c r="H58" s="13" t="s">
        <v>58</v>
      </c>
      <c r="I58">
        <v>84</v>
      </c>
      <c r="J58" s="13" t="s">
        <v>59</v>
      </c>
      <c r="K58">
        <v>242</v>
      </c>
      <c r="L58" s="4">
        <f t="shared" si="5"/>
        <v>2.8809523809523809</v>
      </c>
      <c r="O58">
        <v>17</v>
      </c>
      <c r="P58" s="10">
        <v>15327</v>
      </c>
      <c r="Q58" s="10"/>
      <c r="R58" s="6">
        <v>4033</v>
      </c>
      <c r="S58" s="6">
        <f>+SUM(P58:R58)</f>
        <v>19360</v>
      </c>
      <c r="T58" s="6">
        <f t="shared" si="6"/>
        <v>22869</v>
      </c>
      <c r="U58" s="22">
        <f t="shared" si="7"/>
        <v>-0.15343915343915349</v>
      </c>
      <c r="V58" t="s">
        <v>97</v>
      </c>
      <c r="W58" s="6">
        <v>189</v>
      </c>
      <c r="X58" s="6">
        <v>1</v>
      </c>
      <c r="Z58">
        <v>3</v>
      </c>
      <c r="AC58">
        <v>16</v>
      </c>
      <c r="AN58" s="4">
        <v>1</v>
      </c>
      <c r="AO58">
        <v>0.94</v>
      </c>
    </row>
    <row r="59" spans="1:78" x14ac:dyDescent="0.35">
      <c r="A59" t="s">
        <v>250</v>
      </c>
      <c r="B59" t="s">
        <v>250</v>
      </c>
      <c r="C59" t="s">
        <v>250</v>
      </c>
      <c r="D59" t="s">
        <v>250</v>
      </c>
      <c r="E59" t="s">
        <v>250</v>
      </c>
      <c r="G59" t="s">
        <v>250</v>
      </c>
      <c r="H59" t="s">
        <v>250</v>
      </c>
      <c r="I59" t="s">
        <v>250</v>
      </c>
      <c r="J59" t="s">
        <v>250</v>
      </c>
      <c r="K59" t="s">
        <v>250</v>
      </c>
      <c r="L59" t="s">
        <v>250</v>
      </c>
      <c r="M59" t="s">
        <v>250</v>
      </c>
      <c r="N59" t="s">
        <v>250</v>
      </c>
      <c r="O59" t="s">
        <v>250</v>
      </c>
      <c r="P59" t="s">
        <v>250</v>
      </c>
      <c r="Q59" t="s">
        <v>250</v>
      </c>
      <c r="R59" t="s">
        <v>250</v>
      </c>
      <c r="S59" t="s">
        <v>250</v>
      </c>
      <c r="T59" t="s">
        <v>250</v>
      </c>
      <c r="U59" t="s">
        <v>250</v>
      </c>
      <c r="V59" t="s">
        <v>250</v>
      </c>
      <c r="W59" t="s">
        <v>250</v>
      </c>
      <c r="X59" t="s">
        <v>250</v>
      </c>
      <c r="Y59" t="s">
        <v>250</v>
      </c>
      <c r="Z59" t="s">
        <v>250</v>
      </c>
      <c r="AA59" t="s">
        <v>250</v>
      </c>
      <c r="AB59" t="s">
        <v>250</v>
      </c>
      <c r="AC59" t="s">
        <v>250</v>
      </c>
      <c r="AD59" t="s">
        <v>250</v>
      </c>
      <c r="AE59" t="s">
        <v>250</v>
      </c>
      <c r="AF59" t="s">
        <v>250</v>
      </c>
      <c r="AG59" t="s">
        <v>250</v>
      </c>
      <c r="AH59" t="s">
        <v>250</v>
      </c>
      <c r="AI59" t="s">
        <v>250</v>
      </c>
      <c r="AJ59" t="s">
        <v>250</v>
      </c>
      <c r="AK59" t="s">
        <v>250</v>
      </c>
      <c r="AL59" t="s">
        <v>250</v>
      </c>
      <c r="AM59" t="s">
        <v>250</v>
      </c>
      <c r="AN59" t="s">
        <v>250</v>
      </c>
      <c r="AO59" t="s">
        <v>250</v>
      </c>
      <c r="AP59" t="s">
        <v>250</v>
      </c>
      <c r="AQ59" t="s">
        <v>250</v>
      </c>
      <c r="AR59" t="s">
        <v>250</v>
      </c>
      <c r="AS59" t="s">
        <v>250</v>
      </c>
      <c r="AT59" t="s">
        <v>250</v>
      </c>
      <c r="AU59" t="s">
        <v>250</v>
      </c>
      <c r="AV59" t="s">
        <v>250</v>
      </c>
      <c r="AW59" t="s">
        <v>250</v>
      </c>
      <c r="AX59" t="s">
        <v>250</v>
      </c>
      <c r="AY59" t="s">
        <v>250</v>
      </c>
      <c r="AZ59" t="s">
        <v>250</v>
      </c>
      <c r="BA59" t="s">
        <v>250</v>
      </c>
      <c r="BB59" t="s">
        <v>250</v>
      </c>
      <c r="BC59" t="s">
        <v>250</v>
      </c>
      <c r="BD59" t="s">
        <v>250</v>
      </c>
      <c r="BE59" t="s">
        <v>250</v>
      </c>
      <c r="BF59" t="s">
        <v>250</v>
      </c>
      <c r="BG59" t="s">
        <v>250</v>
      </c>
      <c r="BH59" t="s">
        <v>250</v>
      </c>
      <c r="BI59" t="s">
        <v>250</v>
      </c>
      <c r="BJ59" t="s">
        <v>250</v>
      </c>
      <c r="BK59" t="s">
        <v>250</v>
      </c>
      <c r="BL59" t="s">
        <v>250</v>
      </c>
      <c r="BM59" t="s">
        <v>250</v>
      </c>
      <c r="BN59" t="s">
        <v>250</v>
      </c>
      <c r="BO59" t="s">
        <v>250</v>
      </c>
      <c r="BP59" t="s">
        <v>250</v>
      </c>
      <c r="BQ59" t="s">
        <v>250</v>
      </c>
      <c r="BR59" t="s">
        <v>250</v>
      </c>
      <c r="BS59" t="s">
        <v>250</v>
      </c>
      <c r="BT59" t="s">
        <v>250</v>
      </c>
      <c r="BU59" t="s">
        <v>250</v>
      </c>
      <c r="BV59" t="s">
        <v>250</v>
      </c>
      <c r="BW59" t="s">
        <v>250</v>
      </c>
      <c r="BX59" t="s">
        <v>250</v>
      </c>
      <c r="BY59" t="s">
        <v>250</v>
      </c>
      <c r="BZ59" t="s">
        <v>250</v>
      </c>
    </row>
  </sheetData>
  <sortState xmlns:xlrd2="http://schemas.microsoft.com/office/spreadsheetml/2017/richdata2" ref="A3:BZ58">
    <sortCondition ref="AB3:AB58"/>
    <sortCondition ref="C3:C58"/>
    <sortCondition ref="A3:A58"/>
  </sortState>
  <mergeCells count="18">
    <mergeCell ref="BT1:BW1"/>
    <mergeCell ref="AL1:AM1"/>
    <mergeCell ref="AN1:AP1"/>
    <mergeCell ref="AQ1:AS1"/>
    <mergeCell ref="AT1:AV1"/>
    <mergeCell ref="AW1:AY1"/>
    <mergeCell ref="AZ1:BB1"/>
    <mergeCell ref="BC1:BE1"/>
    <mergeCell ref="BG1:BI1"/>
    <mergeCell ref="BJ1:BK1"/>
    <mergeCell ref="BM1:BN1"/>
    <mergeCell ref="BP1:BS1"/>
    <mergeCell ref="AH1:AK1"/>
    <mergeCell ref="H1:I1"/>
    <mergeCell ref="J1:K1"/>
    <mergeCell ref="M1:N1"/>
    <mergeCell ref="P1:R1"/>
    <mergeCell ref="AD1:AG1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&amp;L&amp;"Times New Roman,Gras"&amp;14CHOC ELECTRIQUE&amp;C&amp;"Times New Roman,Gras"&amp;12CECB de villas individuelles&amp;R&amp;"Times New Roman,Gras"Tri selon la station Météeo retenue(col.AB)</oddHeader>
    <oddFooter>&amp;L&amp;Z&amp;F&amp;A&amp;Rjpm  le 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Base</vt:lpstr>
      <vt:lpstr>Station meteo</vt:lpstr>
      <vt:lpstr>Base!Impression_des_titres</vt:lpstr>
      <vt:lpstr>'Station meteo'!Impression_des_titres</vt:lpstr>
      <vt:lpstr>Base!Zone_d_impression</vt:lpstr>
      <vt:lpstr>'Station meteo'!Zone_d_impression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Mérot</dc:creator>
  <cp:lastModifiedBy>Jean-Pierre Mérot</cp:lastModifiedBy>
  <cp:lastPrinted>2025-12-28T15:57:48Z</cp:lastPrinted>
  <dcterms:created xsi:type="dcterms:W3CDTF">2023-06-28T15:27:36Z</dcterms:created>
  <dcterms:modified xsi:type="dcterms:W3CDTF">2026-01-13T15:18:28Z</dcterms:modified>
</cp:coreProperties>
</file>